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AGUAS DECIMA\PD 2023\PD A.Décima_03_2025\Tablas Excel Informe\"/>
    </mc:Choice>
  </mc:AlternateContent>
  <xr:revisionPtr revIDLastSave="0" documentId="13_ncr:1_{CAFAB668-CF75-413A-9050-5EB009949E33}" xr6:coauthVersionLast="47" xr6:coauthVersionMax="47" xr10:uidLastSave="{00000000-0000-0000-0000-000000000000}"/>
  <bookViews>
    <workbookView xWindow="-108" yWindow="-108" windowWidth="23256" windowHeight="12720" tabRatio="528" xr2:uid="{00000000-000D-0000-FFFF-FFFF00000000}"/>
  </bookViews>
  <sheets>
    <sheet name="Cuadro 6-1 (V10)" sheetId="11" r:id="rId1"/>
    <sheet name="Cuadro 6-1 (V9)" sheetId="10" r:id="rId2"/>
    <sheet name="Cuadro 6-1 (V8)" sheetId="9" r:id="rId3"/>
    <sheet name="Cuadro 6-1 (V7)" sheetId="8" r:id="rId4"/>
    <sheet name="Cuadro 6-1 (V6)" sheetId="7" r:id="rId5"/>
    <sheet name="Cuadro 6-1 (V5)" sheetId="6" r:id="rId6"/>
    <sheet name="Cuadro 6-1 (V4)" sheetId="5" r:id="rId7"/>
    <sheet name="Cuadro 6-1 (V3)" sheetId="4" r:id="rId8"/>
    <sheet name="Cuadro 6-1 (V2)" sheetId="2" r:id="rId9"/>
    <sheet name="Cuadro 6-1" sheetId="1" r:id="rId10"/>
  </sheets>
  <definedNames>
    <definedName name="_xlnm._FilterDatabase" localSheetId="0" hidden="1">'Cuadro 6-1 (V10)'!$C$8:$V$9</definedName>
    <definedName name="_xlnm._FilterDatabase" localSheetId="2" hidden="1">'Cuadro 6-1 (V8)'!$C$8:$V$9</definedName>
    <definedName name="_xlnm._FilterDatabase" localSheetId="1" hidden="1">'Cuadro 6-1 (V9)'!$C$8:$V$9</definedName>
    <definedName name="_xlnm.Print_Area" localSheetId="0">'Cuadro 6-1 (V10)'!$C$4:$V$78</definedName>
    <definedName name="_xlnm.Print_Area" localSheetId="5">'Cuadro 6-1 (V5)'!$C$4:$V$82</definedName>
    <definedName name="_xlnm.Print_Area" localSheetId="4">'Cuadro 6-1 (V6)'!$C$4:$V$82</definedName>
    <definedName name="_xlnm.Print_Area" localSheetId="3">'Cuadro 6-1 (V7)'!$C$4:$V$78</definedName>
    <definedName name="_xlnm.Print_Area" localSheetId="2">'Cuadro 6-1 (V8)'!$C$4:$V$81</definedName>
    <definedName name="_xlnm.Print_Area" localSheetId="1">'Cuadro 6-1 (V9)'!$C$4:$V$77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11" l="1"/>
  <c r="H84" i="11"/>
  <c r="G84" i="11"/>
  <c r="F84" i="11"/>
  <c r="H83" i="11"/>
  <c r="H85" i="11" s="1"/>
  <c r="G83" i="11"/>
  <c r="G85" i="11" s="1"/>
  <c r="F83" i="11"/>
  <c r="F85" i="11" s="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F66" i="11"/>
  <c r="V65" i="11"/>
  <c r="H64" i="11"/>
  <c r="H66" i="11" s="1"/>
  <c r="G63" i="11"/>
  <c r="F63" i="11"/>
  <c r="I62" i="11"/>
  <c r="J62" i="11" s="1"/>
  <c r="V61" i="11"/>
  <c r="V60" i="11"/>
  <c r="V59" i="11"/>
  <c r="V58" i="11"/>
  <c r="V57" i="11"/>
  <c r="V56" i="11"/>
  <c r="V55" i="11"/>
  <c r="V54" i="11"/>
  <c r="J53" i="11"/>
  <c r="V53" i="11" s="1"/>
  <c r="V52" i="11"/>
  <c r="V51" i="11"/>
  <c r="V50" i="11"/>
  <c r="V49" i="11"/>
  <c r="V48" i="11"/>
  <c r="V47" i="11"/>
  <c r="V46" i="11"/>
  <c r="V45" i="11"/>
  <c r="H45" i="11"/>
  <c r="V44" i="11"/>
  <c r="V43" i="11"/>
  <c r="V42" i="11"/>
  <c r="V41" i="11"/>
  <c r="V40" i="11"/>
  <c r="V39" i="11"/>
  <c r="V38" i="11"/>
  <c r="H37" i="11"/>
  <c r="I37" i="11" s="1"/>
  <c r="H36" i="11"/>
  <c r="G36" i="11"/>
  <c r="F36" i="11"/>
  <c r="J35" i="11"/>
  <c r="K35" i="11" s="1"/>
  <c r="L35" i="11" s="1"/>
  <c r="M35" i="11" s="1"/>
  <c r="I35" i="11"/>
  <c r="I36" i="11" s="1"/>
  <c r="V34" i="11"/>
  <c r="V33" i="11"/>
  <c r="V32" i="11"/>
  <c r="S31" i="11"/>
  <c r="V31" i="11" s="1"/>
  <c r="S30" i="11"/>
  <c r="V29" i="11"/>
  <c r="S29" i="11"/>
  <c r="S28" i="11"/>
  <c r="V28" i="11" s="1"/>
  <c r="R27" i="11"/>
  <c r="P26" i="11"/>
  <c r="V26" i="11" s="1"/>
  <c r="V25" i="11"/>
  <c r="L25" i="11"/>
  <c r="V24" i="11"/>
  <c r="L24" i="11"/>
  <c r="L23" i="11"/>
  <c r="K22" i="11"/>
  <c r="K36" i="11" s="1"/>
  <c r="V19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V17" i="11"/>
  <c r="V16" i="11"/>
  <c r="V15" i="11"/>
  <c r="V14" i="11"/>
  <c r="V13" i="11"/>
  <c r="V12" i="11"/>
  <c r="V11" i="11"/>
  <c r="V10" i="11"/>
  <c r="H83" i="10"/>
  <c r="G83" i="10"/>
  <c r="F83" i="10"/>
  <c r="H82" i="10"/>
  <c r="H84" i="10" s="1"/>
  <c r="G82" i="10"/>
  <c r="G84" i="10" s="1"/>
  <c r="F82" i="10"/>
  <c r="F84" i="10" s="1"/>
  <c r="U65" i="10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V64" i="10"/>
  <c r="V63" i="10"/>
  <c r="V65" i="10" s="1"/>
  <c r="H63" i="10"/>
  <c r="G62" i="10"/>
  <c r="F62" i="10"/>
  <c r="I61" i="10"/>
  <c r="I83" i="10" s="1"/>
  <c r="V60" i="10"/>
  <c r="V59" i="10"/>
  <c r="V58" i="10"/>
  <c r="V57" i="10"/>
  <c r="V56" i="10"/>
  <c r="V55" i="10"/>
  <c r="V54" i="10"/>
  <c r="V53" i="10"/>
  <c r="J52" i="10"/>
  <c r="V52" i="10" s="1"/>
  <c r="V51" i="10"/>
  <c r="V50" i="10"/>
  <c r="V49" i="10"/>
  <c r="V48" i="10"/>
  <c r="V47" i="10"/>
  <c r="V46" i="10"/>
  <c r="V45" i="10"/>
  <c r="H44" i="10"/>
  <c r="V44" i="10" s="1"/>
  <c r="V43" i="10"/>
  <c r="V42" i="10"/>
  <c r="V41" i="10"/>
  <c r="V40" i="10"/>
  <c r="V39" i="10"/>
  <c r="V38" i="10"/>
  <c r="V37" i="10"/>
  <c r="H36" i="10"/>
  <c r="I36" i="10" s="1"/>
  <c r="H35" i="10"/>
  <c r="G35" i="10"/>
  <c r="F35" i="10"/>
  <c r="I34" i="10"/>
  <c r="V33" i="10"/>
  <c r="V32" i="10"/>
  <c r="V31" i="10"/>
  <c r="S30" i="10"/>
  <c r="V30" i="10" s="1"/>
  <c r="S29" i="10"/>
  <c r="V29" i="10" s="1"/>
  <c r="V28" i="10"/>
  <c r="S28" i="10"/>
  <c r="S27" i="10"/>
  <c r="V27" i="10" s="1"/>
  <c r="R26" i="10"/>
  <c r="V26" i="10" s="1"/>
  <c r="P25" i="10"/>
  <c r="L24" i="10"/>
  <c r="V24" i="10" s="1"/>
  <c r="L23" i="10"/>
  <c r="V23" i="10" s="1"/>
  <c r="L22" i="10"/>
  <c r="K21" i="10"/>
  <c r="V19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V17" i="10"/>
  <c r="V16" i="10"/>
  <c r="V15" i="10"/>
  <c r="V14" i="10"/>
  <c r="V13" i="10"/>
  <c r="V12" i="10"/>
  <c r="V11" i="10"/>
  <c r="V10" i="10"/>
  <c r="V45" i="9"/>
  <c r="V66" i="9"/>
  <c r="V67" i="9"/>
  <c r="V68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F69" i="9"/>
  <c r="G69" i="9"/>
  <c r="H87" i="9"/>
  <c r="G87" i="9"/>
  <c r="F87" i="9"/>
  <c r="H86" i="9"/>
  <c r="G86" i="9"/>
  <c r="F86" i="9"/>
  <c r="F88" i="9" s="1"/>
  <c r="V65" i="9"/>
  <c r="V64" i="9"/>
  <c r="H63" i="9"/>
  <c r="V63" i="9" s="1"/>
  <c r="G62" i="9"/>
  <c r="F62" i="9"/>
  <c r="I61" i="9"/>
  <c r="I87" i="9" s="1"/>
  <c r="V60" i="9"/>
  <c r="V59" i="9"/>
  <c r="V58" i="9"/>
  <c r="V57" i="9"/>
  <c r="V56" i="9"/>
  <c r="V55" i="9"/>
  <c r="V54" i="9"/>
  <c r="V53" i="9"/>
  <c r="J52" i="9"/>
  <c r="V52" i="9" s="1"/>
  <c r="V51" i="9"/>
  <c r="V50" i="9"/>
  <c r="V49" i="9"/>
  <c r="V48" i="9"/>
  <c r="V47" i="9"/>
  <c r="V46" i="9"/>
  <c r="H44" i="9"/>
  <c r="V44" i="9" s="1"/>
  <c r="V43" i="9"/>
  <c r="V42" i="9"/>
  <c r="V41" i="9"/>
  <c r="V40" i="9"/>
  <c r="V39" i="9"/>
  <c r="V38" i="9"/>
  <c r="V37" i="9"/>
  <c r="H36" i="9"/>
  <c r="H35" i="9"/>
  <c r="G35" i="9"/>
  <c r="F35" i="9"/>
  <c r="I34" i="9"/>
  <c r="I35" i="9" s="1"/>
  <c r="V33" i="9"/>
  <c r="V32" i="9"/>
  <c r="V31" i="9"/>
  <c r="S30" i="9"/>
  <c r="V30" i="9" s="1"/>
  <c r="S29" i="9"/>
  <c r="V29" i="9" s="1"/>
  <c r="S28" i="9"/>
  <c r="V28" i="9" s="1"/>
  <c r="S27" i="9"/>
  <c r="R26" i="9"/>
  <c r="V26" i="9" s="1"/>
  <c r="P25" i="9"/>
  <c r="V25" i="9" s="1"/>
  <c r="L24" i="9"/>
  <c r="V24" i="9" s="1"/>
  <c r="L23" i="9"/>
  <c r="V23" i="9" s="1"/>
  <c r="L22" i="9"/>
  <c r="V22" i="9" s="1"/>
  <c r="K21" i="9"/>
  <c r="V19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V17" i="9"/>
  <c r="V16" i="9"/>
  <c r="V15" i="9"/>
  <c r="V14" i="9"/>
  <c r="V13" i="9"/>
  <c r="V12" i="9"/>
  <c r="V11" i="9"/>
  <c r="V10" i="9"/>
  <c r="G83" i="8"/>
  <c r="G85" i="8" s="1"/>
  <c r="H83" i="8"/>
  <c r="G84" i="8"/>
  <c r="H84" i="8"/>
  <c r="F84" i="8"/>
  <c r="F83" i="8"/>
  <c r="H43" i="8"/>
  <c r="V43" i="8" s="1"/>
  <c r="T65" i="8"/>
  <c r="S65" i="8"/>
  <c r="R65" i="8"/>
  <c r="Q65" i="8"/>
  <c r="P65" i="8"/>
  <c r="O65" i="8"/>
  <c r="N65" i="8"/>
  <c r="M65" i="8"/>
  <c r="L65" i="8"/>
  <c r="K65" i="8"/>
  <c r="J65" i="8"/>
  <c r="I65" i="8"/>
  <c r="G65" i="8"/>
  <c r="F65" i="8"/>
  <c r="V64" i="8"/>
  <c r="V63" i="8"/>
  <c r="H62" i="8"/>
  <c r="H65" i="8" s="1"/>
  <c r="G61" i="8"/>
  <c r="F61" i="8"/>
  <c r="I60" i="8"/>
  <c r="J60" i="8" s="1"/>
  <c r="K60" i="8" s="1"/>
  <c r="V59" i="8"/>
  <c r="V58" i="8"/>
  <c r="V57" i="8"/>
  <c r="V56" i="8"/>
  <c r="V55" i="8"/>
  <c r="V54" i="8"/>
  <c r="V53" i="8"/>
  <c r="V52" i="8"/>
  <c r="J51" i="8"/>
  <c r="V51" i="8" s="1"/>
  <c r="V50" i="8"/>
  <c r="V49" i="8"/>
  <c r="V48" i="8"/>
  <c r="V47" i="8"/>
  <c r="V46" i="8"/>
  <c r="V45" i="8"/>
  <c r="V44" i="8"/>
  <c r="V42" i="8"/>
  <c r="V41" i="8"/>
  <c r="V40" i="8"/>
  <c r="V39" i="8"/>
  <c r="V38" i="8"/>
  <c r="V37" i="8"/>
  <c r="V36" i="8"/>
  <c r="H35" i="8"/>
  <c r="I35" i="8" s="1"/>
  <c r="J35" i="8" s="1"/>
  <c r="H34" i="8"/>
  <c r="G34" i="8"/>
  <c r="F34" i="8"/>
  <c r="I33" i="8"/>
  <c r="I34" i="8" s="1"/>
  <c r="V32" i="8"/>
  <c r="V31" i="8"/>
  <c r="V30" i="8"/>
  <c r="S29" i="8"/>
  <c r="V29" i="8" s="1"/>
  <c r="S28" i="8"/>
  <c r="V28" i="8" s="1"/>
  <c r="S27" i="8"/>
  <c r="V27" i="8" s="1"/>
  <c r="S26" i="8"/>
  <c r="V26" i="8" s="1"/>
  <c r="R25" i="8"/>
  <c r="V25" i="8" s="1"/>
  <c r="P24" i="8"/>
  <c r="L23" i="8"/>
  <c r="V23" i="8" s="1"/>
  <c r="L22" i="8"/>
  <c r="V22" i="8" s="1"/>
  <c r="L21" i="8"/>
  <c r="V21" i="8" s="1"/>
  <c r="K20" i="8"/>
  <c r="V19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V17" i="8"/>
  <c r="V16" i="8"/>
  <c r="V15" i="8"/>
  <c r="V14" i="8"/>
  <c r="V13" i="8"/>
  <c r="V12" i="8"/>
  <c r="V11" i="8"/>
  <c r="V10" i="8"/>
  <c r="T69" i="7"/>
  <c r="S69" i="7"/>
  <c r="R69" i="7"/>
  <c r="Q69" i="7"/>
  <c r="P69" i="7"/>
  <c r="O69" i="7"/>
  <c r="N69" i="7"/>
  <c r="M69" i="7"/>
  <c r="L69" i="7"/>
  <c r="K69" i="7"/>
  <c r="J69" i="7"/>
  <c r="I69" i="7"/>
  <c r="G69" i="7"/>
  <c r="G71" i="7" s="1"/>
  <c r="G95" i="7" s="1"/>
  <c r="F69" i="7"/>
  <c r="F71" i="7" s="1"/>
  <c r="F95" i="7" s="1"/>
  <c r="H68" i="7"/>
  <c r="V68" i="7" s="1"/>
  <c r="V67" i="7"/>
  <c r="H67" i="7"/>
  <c r="H66" i="7"/>
  <c r="V66" i="7" s="1"/>
  <c r="V65" i="7"/>
  <c r="V64" i="7"/>
  <c r="H63" i="7"/>
  <c r="H69" i="7" s="1"/>
  <c r="G62" i="7"/>
  <c r="F62" i="7"/>
  <c r="I61" i="7"/>
  <c r="J61" i="7" s="1"/>
  <c r="V60" i="7"/>
  <c r="V59" i="7"/>
  <c r="V58" i="7"/>
  <c r="V57" i="7"/>
  <c r="V56" i="7"/>
  <c r="V55" i="7"/>
  <c r="V54" i="7"/>
  <c r="V53" i="7"/>
  <c r="J52" i="7"/>
  <c r="V52" i="7" s="1"/>
  <c r="V51" i="7"/>
  <c r="V50" i="7"/>
  <c r="V49" i="7"/>
  <c r="V48" i="7"/>
  <c r="V47" i="7"/>
  <c r="V46" i="7"/>
  <c r="V45" i="7"/>
  <c r="H44" i="7"/>
  <c r="V44" i="7" s="1"/>
  <c r="V43" i="7"/>
  <c r="V42" i="7"/>
  <c r="V41" i="7"/>
  <c r="V40" i="7"/>
  <c r="V39" i="7"/>
  <c r="V38" i="7"/>
  <c r="V37" i="7"/>
  <c r="H36" i="7"/>
  <c r="I36" i="7" s="1"/>
  <c r="H35" i="7"/>
  <c r="G35" i="7"/>
  <c r="F35" i="7"/>
  <c r="J34" i="7"/>
  <c r="K34" i="7" s="1"/>
  <c r="L34" i="7" s="1"/>
  <c r="M34" i="7" s="1"/>
  <c r="I34" i="7"/>
  <c r="I35" i="7" s="1"/>
  <c r="V33" i="7"/>
  <c r="V32" i="7"/>
  <c r="V31" i="7"/>
  <c r="S30" i="7"/>
  <c r="V30" i="7" s="1"/>
  <c r="S29" i="7"/>
  <c r="V29" i="7" s="1"/>
  <c r="S28" i="7"/>
  <c r="V28" i="7" s="1"/>
  <c r="S27" i="7"/>
  <c r="V27" i="7" s="1"/>
  <c r="V26" i="7"/>
  <c r="R26" i="7"/>
  <c r="P25" i="7"/>
  <c r="L24" i="7"/>
  <c r="V24" i="7" s="1"/>
  <c r="L23" i="7"/>
  <c r="V23" i="7" s="1"/>
  <c r="V22" i="7"/>
  <c r="L22" i="7"/>
  <c r="K21" i="7"/>
  <c r="K35" i="7" s="1"/>
  <c r="V20" i="7"/>
  <c r="V19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V17" i="7"/>
  <c r="V16" i="7"/>
  <c r="V15" i="7"/>
  <c r="V14" i="7"/>
  <c r="V13" i="7"/>
  <c r="V12" i="7"/>
  <c r="V11" i="7"/>
  <c r="V10" i="7"/>
  <c r="V18" i="7" s="1"/>
  <c r="V30" i="6"/>
  <c r="V31" i="6"/>
  <c r="V32" i="6"/>
  <c r="V33" i="6"/>
  <c r="V34" i="6"/>
  <c r="V60" i="6"/>
  <c r="G69" i="6"/>
  <c r="I69" i="6"/>
  <c r="J69" i="6"/>
  <c r="K69" i="6"/>
  <c r="L69" i="6"/>
  <c r="M69" i="6"/>
  <c r="N69" i="6"/>
  <c r="O69" i="6"/>
  <c r="P69" i="6"/>
  <c r="Q69" i="6"/>
  <c r="R69" i="6"/>
  <c r="S69" i="6"/>
  <c r="T69" i="6"/>
  <c r="F69" i="6"/>
  <c r="G62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G35" i="6"/>
  <c r="H35" i="6"/>
  <c r="H68" i="6"/>
  <c r="V68" i="6" s="1"/>
  <c r="H67" i="6"/>
  <c r="V67" i="6" s="1"/>
  <c r="H66" i="6"/>
  <c r="V66" i="6" s="1"/>
  <c r="V65" i="6"/>
  <c r="V64" i="6"/>
  <c r="H63" i="6"/>
  <c r="F62" i="6"/>
  <c r="I61" i="6"/>
  <c r="J61" i="6" s="1"/>
  <c r="K61" i="6" s="1"/>
  <c r="L61" i="6" s="1"/>
  <c r="M61" i="6" s="1"/>
  <c r="N61" i="6" s="1"/>
  <c r="O61" i="6" s="1"/>
  <c r="P61" i="6" s="1"/>
  <c r="Q61" i="6" s="1"/>
  <c r="R61" i="6" s="1"/>
  <c r="S61" i="6" s="1"/>
  <c r="T61" i="6" s="1"/>
  <c r="V59" i="6"/>
  <c r="V58" i="6"/>
  <c r="V57" i="6"/>
  <c r="V56" i="6"/>
  <c r="V55" i="6"/>
  <c r="V54" i="6"/>
  <c r="V53" i="6"/>
  <c r="J52" i="6"/>
  <c r="V52" i="6" s="1"/>
  <c r="V51" i="6"/>
  <c r="V50" i="6"/>
  <c r="V49" i="6"/>
  <c r="V48" i="6"/>
  <c r="V47" i="6"/>
  <c r="V46" i="6"/>
  <c r="V45" i="6"/>
  <c r="H44" i="6"/>
  <c r="V44" i="6" s="1"/>
  <c r="V43" i="6"/>
  <c r="V42" i="6"/>
  <c r="V41" i="6"/>
  <c r="V40" i="6"/>
  <c r="V39" i="6"/>
  <c r="V38" i="6"/>
  <c r="V37" i="6"/>
  <c r="H36" i="6"/>
  <c r="I36" i="6" s="1"/>
  <c r="I62" i="6" s="1"/>
  <c r="F35" i="6"/>
  <c r="I34" i="6"/>
  <c r="I35" i="6" s="1"/>
  <c r="S30" i="6"/>
  <c r="S29" i="6"/>
  <c r="V29" i="6" s="1"/>
  <c r="S28" i="6"/>
  <c r="V28" i="6" s="1"/>
  <c r="S27" i="6"/>
  <c r="R26" i="6"/>
  <c r="P25" i="6"/>
  <c r="L24" i="6"/>
  <c r="V24" i="6" s="1"/>
  <c r="L23" i="6"/>
  <c r="V23" i="6" s="1"/>
  <c r="L22" i="6"/>
  <c r="V22" i="6" s="1"/>
  <c r="K21" i="6"/>
  <c r="V21" i="6" s="1"/>
  <c r="V20" i="6"/>
  <c r="V19" i="6"/>
  <c r="F18" i="6"/>
  <c r="V17" i="6"/>
  <c r="V16" i="6"/>
  <c r="V15" i="6"/>
  <c r="V14" i="6"/>
  <c r="V13" i="6"/>
  <c r="V12" i="6"/>
  <c r="V11" i="6"/>
  <c r="V10" i="6"/>
  <c r="V61" i="5"/>
  <c r="V62" i="5"/>
  <c r="V63" i="5"/>
  <c r="V29" i="5"/>
  <c r="V30" i="5"/>
  <c r="V38" i="5"/>
  <c r="V39" i="5"/>
  <c r="V40" i="5"/>
  <c r="V41" i="5"/>
  <c r="V42" i="5"/>
  <c r="V43" i="5"/>
  <c r="V44" i="5"/>
  <c r="H64" i="5"/>
  <c r="H63" i="5"/>
  <c r="H62" i="5"/>
  <c r="F68" i="11" l="1"/>
  <c r="F89" i="11" s="1"/>
  <c r="V18" i="11"/>
  <c r="L36" i="11"/>
  <c r="V64" i="11"/>
  <c r="V66" i="11" s="1"/>
  <c r="J37" i="11"/>
  <c r="I63" i="11"/>
  <c r="I68" i="11" s="1"/>
  <c r="K62" i="11"/>
  <c r="L62" i="11" s="1"/>
  <c r="M62" i="11" s="1"/>
  <c r="N62" i="11" s="1"/>
  <c r="O62" i="11" s="1"/>
  <c r="P62" i="11" s="1"/>
  <c r="Q62" i="11" s="1"/>
  <c r="R62" i="11" s="1"/>
  <c r="S62" i="11" s="1"/>
  <c r="T62" i="11" s="1"/>
  <c r="J84" i="11"/>
  <c r="N35" i="11"/>
  <c r="M36" i="11"/>
  <c r="V23" i="11"/>
  <c r="V27" i="11"/>
  <c r="H63" i="11"/>
  <c r="I83" i="11"/>
  <c r="I85" i="11" s="1"/>
  <c r="G68" i="11"/>
  <c r="J83" i="11"/>
  <c r="J85" i="11" s="1"/>
  <c r="J36" i="11"/>
  <c r="V22" i="11"/>
  <c r="V30" i="11"/>
  <c r="F67" i="10"/>
  <c r="G67" i="10"/>
  <c r="V18" i="10"/>
  <c r="H67" i="10"/>
  <c r="G81" i="10"/>
  <c r="G85" i="10" s="1"/>
  <c r="G88" i="10"/>
  <c r="J36" i="10"/>
  <c r="I62" i="10"/>
  <c r="I67" i="10" s="1"/>
  <c r="F88" i="10"/>
  <c r="F81" i="10"/>
  <c r="F85" i="10" s="1"/>
  <c r="I35" i="10"/>
  <c r="J34" i="10"/>
  <c r="V21" i="10"/>
  <c r="V25" i="10"/>
  <c r="I82" i="10"/>
  <c r="I84" i="10" s="1"/>
  <c r="V22" i="10"/>
  <c r="H62" i="10"/>
  <c r="J61" i="10"/>
  <c r="F71" i="9"/>
  <c r="F92" i="9" s="1"/>
  <c r="G71" i="9"/>
  <c r="G85" i="9" s="1"/>
  <c r="H69" i="9"/>
  <c r="V69" i="9"/>
  <c r="G88" i="9"/>
  <c r="J34" i="9"/>
  <c r="K34" i="9" s="1"/>
  <c r="L34" i="9" s="1"/>
  <c r="M34" i="9" s="1"/>
  <c r="H88" i="9"/>
  <c r="I86" i="9"/>
  <c r="I88" i="9" s="1"/>
  <c r="V18" i="9"/>
  <c r="H62" i="9"/>
  <c r="V27" i="9"/>
  <c r="I36" i="9"/>
  <c r="J61" i="9"/>
  <c r="V21" i="9"/>
  <c r="F85" i="8"/>
  <c r="H85" i="8"/>
  <c r="J84" i="8"/>
  <c r="I84" i="8"/>
  <c r="I83" i="8"/>
  <c r="J33" i="8"/>
  <c r="J83" i="8" s="1"/>
  <c r="F67" i="8"/>
  <c r="G67" i="8"/>
  <c r="H61" i="8"/>
  <c r="H67" i="8" s="1"/>
  <c r="V18" i="8"/>
  <c r="V62" i="8"/>
  <c r="K35" i="8"/>
  <c r="J61" i="8"/>
  <c r="L60" i="8"/>
  <c r="M60" i="8" s="1"/>
  <c r="N60" i="8" s="1"/>
  <c r="O60" i="8" s="1"/>
  <c r="P60" i="8" s="1"/>
  <c r="Q60" i="8" s="1"/>
  <c r="R60" i="8" s="1"/>
  <c r="S60" i="8" s="1"/>
  <c r="T60" i="8" s="1"/>
  <c r="V60" i="8"/>
  <c r="V20" i="8"/>
  <c r="V24" i="8"/>
  <c r="K33" i="8"/>
  <c r="L33" i="8" s="1"/>
  <c r="M33" i="8" s="1"/>
  <c r="J34" i="8"/>
  <c r="V65" i="8"/>
  <c r="I61" i="8"/>
  <c r="I67" i="8" s="1"/>
  <c r="N34" i="7"/>
  <c r="M35" i="7"/>
  <c r="L35" i="7"/>
  <c r="K61" i="7"/>
  <c r="L61" i="7" s="1"/>
  <c r="M61" i="7" s="1"/>
  <c r="N61" i="7" s="1"/>
  <c r="O61" i="7" s="1"/>
  <c r="P61" i="7" s="1"/>
  <c r="Q61" i="7" s="1"/>
  <c r="R61" i="7" s="1"/>
  <c r="S61" i="7" s="1"/>
  <c r="T61" i="7" s="1"/>
  <c r="V61" i="7"/>
  <c r="J36" i="7"/>
  <c r="I62" i="7"/>
  <c r="I71" i="7" s="1"/>
  <c r="I95" i="7" s="1"/>
  <c r="V21" i="7"/>
  <c r="V63" i="7"/>
  <c r="V69" i="7"/>
  <c r="J35" i="7"/>
  <c r="H62" i="7"/>
  <c r="V25" i="7"/>
  <c r="G71" i="6"/>
  <c r="G95" i="6" s="1"/>
  <c r="H69" i="6"/>
  <c r="V69" i="6" s="1"/>
  <c r="V18" i="6"/>
  <c r="I71" i="6"/>
  <c r="I95" i="6" s="1"/>
  <c r="V27" i="6"/>
  <c r="H62" i="6"/>
  <c r="F71" i="6"/>
  <c r="F95" i="6" s="1"/>
  <c r="V25" i="6"/>
  <c r="V61" i="6"/>
  <c r="J36" i="6"/>
  <c r="J62" i="6" s="1"/>
  <c r="V63" i="6"/>
  <c r="V26" i="6"/>
  <c r="J34" i="6"/>
  <c r="J35" i="6" s="1"/>
  <c r="H41" i="5"/>
  <c r="V64" i="5"/>
  <c r="H33" i="5"/>
  <c r="I57" i="5"/>
  <c r="X57" i="5"/>
  <c r="X58" i="5" s="1"/>
  <c r="I31" i="5"/>
  <c r="I32" i="5" s="1"/>
  <c r="Y31" i="5"/>
  <c r="Z31" i="5" s="1"/>
  <c r="T65" i="5"/>
  <c r="S65" i="5"/>
  <c r="R65" i="5"/>
  <c r="Q65" i="5"/>
  <c r="P65" i="5"/>
  <c r="O65" i="5"/>
  <c r="N65" i="5"/>
  <c r="M65" i="5"/>
  <c r="L65" i="5"/>
  <c r="K65" i="5"/>
  <c r="J65" i="5"/>
  <c r="I65" i="5"/>
  <c r="G65" i="5"/>
  <c r="F65" i="5"/>
  <c r="V60" i="5"/>
  <c r="H59" i="5"/>
  <c r="H65" i="5" s="1"/>
  <c r="G58" i="5"/>
  <c r="F58" i="5"/>
  <c r="V56" i="5"/>
  <c r="V55" i="5"/>
  <c r="V54" i="5"/>
  <c r="V53" i="5"/>
  <c r="V52" i="5"/>
  <c r="V51" i="5"/>
  <c r="V50" i="5"/>
  <c r="J49" i="5"/>
  <c r="V49" i="5" s="1"/>
  <c r="V48" i="5"/>
  <c r="V47" i="5"/>
  <c r="V46" i="5"/>
  <c r="V45" i="5"/>
  <c r="V37" i="5"/>
  <c r="V36" i="5"/>
  <c r="V35" i="5"/>
  <c r="V34" i="5"/>
  <c r="H32" i="5"/>
  <c r="G32" i="5"/>
  <c r="F32" i="5"/>
  <c r="S28" i="5"/>
  <c r="V28" i="5" s="1"/>
  <c r="S27" i="5"/>
  <c r="V27" i="5" s="1"/>
  <c r="S26" i="5"/>
  <c r="V26" i="5" s="1"/>
  <c r="S25" i="5"/>
  <c r="R24" i="5"/>
  <c r="V24" i="5" s="1"/>
  <c r="P23" i="5"/>
  <c r="L22" i="5"/>
  <c r="V22" i="5" s="1"/>
  <c r="L21" i="5"/>
  <c r="V21" i="5" s="1"/>
  <c r="L20" i="5"/>
  <c r="K19" i="5"/>
  <c r="V18" i="5"/>
  <c r="V17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V15" i="5"/>
  <c r="V14" i="5"/>
  <c r="V13" i="5"/>
  <c r="V12" i="5"/>
  <c r="V11" i="5"/>
  <c r="V10" i="5"/>
  <c r="V9" i="5"/>
  <c r="V8" i="5"/>
  <c r="H31" i="4"/>
  <c r="I31" i="4"/>
  <c r="J31" i="4"/>
  <c r="M31" i="4"/>
  <c r="N31" i="4"/>
  <c r="O31" i="4"/>
  <c r="Q31" i="4"/>
  <c r="T31" i="4"/>
  <c r="R24" i="4"/>
  <c r="V24" i="4" s="1"/>
  <c r="P23" i="4"/>
  <c r="V23" i="4" s="1"/>
  <c r="S28" i="4"/>
  <c r="V28" i="4" s="1"/>
  <c r="S27" i="4"/>
  <c r="V27" i="4" s="1"/>
  <c r="S26" i="4"/>
  <c r="V26" i="4" s="1"/>
  <c r="S25" i="4"/>
  <c r="L22" i="4"/>
  <c r="V22" i="4" s="1"/>
  <c r="L21" i="4"/>
  <c r="V21" i="4" s="1"/>
  <c r="L20" i="4"/>
  <c r="K19" i="4"/>
  <c r="K31" i="4" s="1"/>
  <c r="V25" i="4"/>
  <c r="J46" i="4"/>
  <c r="V46" i="4" s="1"/>
  <c r="T59" i="4"/>
  <c r="S59" i="4"/>
  <c r="R59" i="4"/>
  <c r="Q59" i="4"/>
  <c r="P59" i="4"/>
  <c r="O59" i="4"/>
  <c r="N59" i="4"/>
  <c r="M59" i="4"/>
  <c r="L59" i="4"/>
  <c r="K59" i="4"/>
  <c r="J59" i="4"/>
  <c r="I59" i="4"/>
  <c r="G59" i="4"/>
  <c r="F59" i="4"/>
  <c r="V58" i="4"/>
  <c r="V57" i="4"/>
  <c r="H56" i="4"/>
  <c r="V56" i="4" s="1"/>
  <c r="T55" i="4"/>
  <c r="S55" i="4"/>
  <c r="R55" i="4"/>
  <c r="Q55" i="4"/>
  <c r="P55" i="4"/>
  <c r="O55" i="4"/>
  <c r="N55" i="4"/>
  <c r="M55" i="4"/>
  <c r="L55" i="4"/>
  <c r="K55" i="4"/>
  <c r="I55" i="4"/>
  <c r="H55" i="4"/>
  <c r="G55" i="4"/>
  <c r="F55" i="4"/>
  <c r="V54" i="4"/>
  <c r="V53" i="4"/>
  <c r="V52" i="4"/>
  <c r="V51" i="4"/>
  <c r="V50" i="4"/>
  <c r="V49" i="4"/>
  <c r="V48" i="4"/>
  <c r="V47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G31" i="4"/>
  <c r="F31" i="4"/>
  <c r="V30" i="4"/>
  <c r="V29" i="4"/>
  <c r="V20" i="4"/>
  <c r="V19" i="4"/>
  <c r="V18" i="4"/>
  <c r="V17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V15" i="4"/>
  <c r="V14" i="4"/>
  <c r="V13" i="4"/>
  <c r="V12" i="4"/>
  <c r="V11" i="4"/>
  <c r="V10" i="4"/>
  <c r="V9" i="4"/>
  <c r="V8" i="4"/>
  <c r="V45" i="2"/>
  <c r="F82" i="11" l="1"/>
  <c r="F86" i="11" s="1"/>
  <c r="I89" i="11"/>
  <c r="I82" i="11"/>
  <c r="I86" i="11" s="1"/>
  <c r="O35" i="11"/>
  <c r="N36" i="11"/>
  <c r="G89" i="11"/>
  <c r="G82" i="11"/>
  <c r="G86" i="11" s="1"/>
  <c r="H68" i="11"/>
  <c r="K37" i="11"/>
  <c r="J63" i="11"/>
  <c r="J68" i="11" s="1"/>
  <c r="V62" i="11"/>
  <c r="J82" i="10"/>
  <c r="K34" i="10"/>
  <c r="J35" i="10"/>
  <c r="H88" i="10"/>
  <c r="H81" i="10"/>
  <c r="H85" i="10" s="1"/>
  <c r="I88" i="10"/>
  <c r="I81" i="10"/>
  <c r="I85" i="10" s="1"/>
  <c r="K61" i="10"/>
  <c r="L61" i="10" s="1"/>
  <c r="M61" i="10" s="1"/>
  <c r="N61" i="10" s="1"/>
  <c r="O61" i="10" s="1"/>
  <c r="P61" i="10" s="1"/>
  <c r="Q61" i="10" s="1"/>
  <c r="R61" i="10" s="1"/>
  <c r="S61" i="10" s="1"/>
  <c r="T61" i="10" s="1"/>
  <c r="J83" i="10"/>
  <c r="J62" i="10"/>
  <c r="K36" i="10"/>
  <c r="J86" i="9"/>
  <c r="K35" i="9"/>
  <c r="J35" i="9"/>
  <c r="H71" i="9"/>
  <c r="G89" i="9"/>
  <c r="G92" i="9"/>
  <c r="F85" i="9"/>
  <c r="F89" i="9" s="1"/>
  <c r="L35" i="9"/>
  <c r="I62" i="9"/>
  <c r="I71" i="9" s="1"/>
  <c r="J36" i="9"/>
  <c r="N34" i="9"/>
  <c r="M35" i="9"/>
  <c r="K61" i="9"/>
  <c r="J87" i="9"/>
  <c r="J67" i="8"/>
  <c r="J82" i="8" s="1"/>
  <c r="J86" i="8" s="1"/>
  <c r="J89" i="8"/>
  <c r="H89" i="8"/>
  <c r="H82" i="8"/>
  <c r="H86" i="8" s="1"/>
  <c r="G89" i="8"/>
  <c r="G82" i="8"/>
  <c r="G86" i="8" s="1"/>
  <c r="J85" i="8"/>
  <c r="F89" i="8"/>
  <c r="F82" i="8"/>
  <c r="F86" i="8" s="1"/>
  <c r="I89" i="8"/>
  <c r="I82" i="8"/>
  <c r="I85" i="8"/>
  <c r="K34" i="8"/>
  <c r="K61" i="8"/>
  <c r="K67" i="8" s="1"/>
  <c r="L35" i="8"/>
  <c r="L34" i="8"/>
  <c r="N33" i="8"/>
  <c r="M34" i="8"/>
  <c r="H71" i="7"/>
  <c r="H95" i="7" s="1"/>
  <c r="K36" i="7"/>
  <c r="J62" i="7"/>
  <c r="J71" i="7" s="1"/>
  <c r="J95" i="7" s="1"/>
  <c r="O34" i="7"/>
  <c r="N35" i="7"/>
  <c r="J71" i="6"/>
  <c r="J95" i="6" s="1"/>
  <c r="H71" i="6"/>
  <c r="H95" i="6" s="1"/>
  <c r="K34" i="6"/>
  <c r="K35" i="6" s="1"/>
  <c r="K36" i="6"/>
  <c r="K62" i="6" s="1"/>
  <c r="L31" i="4"/>
  <c r="V31" i="4" s="1"/>
  <c r="S31" i="4"/>
  <c r="S61" i="4" s="1"/>
  <c r="H58" i="5"/>
  <c r="I33" i="5"/>
  <c r="J33" i="5" s="1"/>
  <c r="K33" i="5" s="1"/>
  <c r="L33" i="5" s="1"/>
  <c r="M33" i="5" s="1"/>
  <c r="N33" i="5" s="1"/>
  <c r="O33" i="5" s="1"/>
  <c r="P33" i="5" s="1"/>
  <c r="Q33" i="5" s="1"/>
  <c r="R33" i="5" s="1"/>
  <c r="S33" i="5" s="1"/>
  <c r="T33" i="5" s="1"/>
  <c r="J57" i="5"/>
  <c r="K57" i="5" s="1"/>
  <c r="L57" i="5" s="1"/>
  <c r="J31" i="5"/>
  <c r="V16" i="5"/>
  <c r="V25" i="5"/>
  <c r="G67" i="5"/>
  <c r="G77" i="5" s="1"/>
  <c r="F67" i="5"/>
  <c r="F77" i="5" s="1"/>
  <c r="V59" i="5"/>
  <c r="V19" i="5"/>
  <c r="V23" i="5"/>
  <c r="V65" i="5"/>
  <c r="V20" i="5"/>
  <c r="R31" i="4"/>
  <c r="R61" i="4" s="1"/>
  <c r="P31" i="4"/>
  <c r="P61" i="4" s="1"/>
  <c r="J55" i="4"/>
  <c r="J61" i="4" s="1"/>
  <c r="J72" i="4" s="1"/>
  <c r="V16" i="4"/>
  <c r="M61" i="4"/>
  <c r="G61" i="4"/>
  <c r="G72" i="4" s="1"/>
  <c r="N61" i="4"/>
  <c r="O61" i="4"/>
  <c r="I61" i="4"/>
  <c r="I72" i="4" s="1"/>
  <c r="Q61" i="4"/>
  <c r="K61" i="4"/>
  <c r="T61" i="4"/>
  <c r="F61" i="4"/>
  <c r="F72" i="4" s="1"/>
  <c r="H59" i="4"/>
  <c r="H61" i="4" s="1"/>
  <c r="H72" i="4" s="1"/>
  <c r="P35" i="11" l="1"/>
  <c r="O36" i="11"/>
  <c r="L37" i="11"/>
  <c r="K63" i="11"/>
  <c r="H89" i="11"/>
  <c r="H82" i="11"/>
  <c r="H86" i="11" s="1"/>
  <c r="J89" i="11"/>
  <c r="J82" i="11"/>
  <c r="J86" i="11" s="1"/>
  <c r="L34" i="10"/>
  <c r="K35" i="10"/>
  <c r="J67" i="10"/>
  <c r="V61" i="10"/>
  <c r="J84" i="10"/>
  <c r="K62" i="10"/>
  <c r="L36" i="10"/>
  <c r="J88" i="9"/>
  <c r="L61" i="9"/>
  <c r="M61" i="9" s="1"/>
  <c r="N61" i="9" s="1"/>
  <c r="O61" i="9" s="1"/>
  <c r="P61" i="9" s="1"/>
  <c r="Q61" i="9" s="1"/>
  <c r="R61" i="9" s="1"/>
  <c r="S61" i="9" s="1"/>
  <c r="T61" i="9" s="1"/>
  <c r="V61" i="9" s="1"/>
  <c r="O34" i="9"/>
  <c r="N35" i="9"/>
  <c r="J62" i="9"/>
  <c r="J71" i="9" s="1"/>
  <c r="K36" i="9"/>
  <c r="H92" i="9"/>
  <c r="H85" i="9"/>
  <c r="H89" i="9" s="1"/>
  <c r="I92" i="9"/>
  <c r="I85" i="9"/>
  <c r="I89" i="9" s="1"/>
  <c r="I86" i="8"/>
  <c r="O33" i="8"/>
  <c r="N34" i="8"/>
  <c r="L61" i="8"/>
  <c r="L67" i="8" s="1"/>
  <c r="M35" i="8"/>
  <c r="P34" i="7"/>
  <c r="O35" i="7"/>
  <c r="L36" i="7"/>
  <c r="K62" i="7"/>
  <c r="K71" i="7" s="1"/>
  <c r="K71" i="6"/>
  <c r="L36" i="6"/>
  <c r="L62" i="6" s="1"/>
  <c r="L34" i="6"/>
  <c r="L35" i="6" s="1"/>
  <c r="L61" i="4"/>
  <c r="H67" i="5"/>
  <c r="H77" i="5" s="1"/>
  <c r="V33" i="5"/>
  <c r="I58" i="5"/>
  <c r="I67" i="5" s="1"/>
  <c r="I77" i="5" s="1"/>
  <c r="K58" i="5"/>
  <c r="J58" i="5"/>
  <c r="J32" i="5"/>
  <c r="K31" i="5"/>
  <c r="M57" i="5"/>
  <c r="L58" i="5"/>
  <c r="V55" i="4"/>
  <c r="V59" i="4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V17" i="2"/>
  <c r="V16" i="2"/>
  <c r="V15" i="2"/>
  <c r="V14" i="2"/>
  <c r="V13" i="2"/>
  <c r="V12" i="2"/>
  <c r="V11" i="2"/>
  <c r="V10" i="2"/>
  <c r="V26" i="2"/>
  <c r="V27" i="2"/>
  <c r="V57" i="2"/>
  <c r="V58" i="2"/>
  <c r="V21" i="2"/>
  <c r="V22" i="2"/>
  <c r="V23" i="2"/>
  <c r="V24" i="2"/>
  <c r="V25" i="2"/>
  <c r="V43" i="2"/>
  <c r="V44" i="2"/>
  <c r="V46" i="2"/>
  <c r="H55" i="2"/>
  <c r="Q35" i="11" l="1"/>
  <c r="P36" i="11"/>
  <c r="M37" i="11"/>
  <c r="L63" i="11"/>
  <c r="L68" i="11" s="1"/>
  <c r="K68" i="11"/>
  <c r="M34" i="10"/>
  <c r="L35" i="10"/>
  <c r="M36" i="10"/>
  <c r="L62" i="10"/>
  <c r="K67" i="10"/>
  <c r="J88" i="10"/>
  <c r="J81" i="10"/>
  <c r="J85" i="10" s="1"/>
  <c r="J92" i="9"/>
  <c r="J85" i="9"/>
  <c r="J89" i="9" s="1"/>
  <c r="O35" i="9"/>
  <c r="P34" i="9"/>
  <c r="L36" i="9"/>
  <c r="K62" i="9"/>
  <c r="K71" i="9" s="1"/>
  <c r="N35" i="8"/>
  <c r="M61" i="8"/>
  <c r="P33" i="8"/>
  <c r="O34" i="8"/>
  <c r="L62" i="7"/>
  <c r="M36" i="7"/>
  <c r="Q34" i="7"/>
  <c r="P35" i="7"/>
  <c r="L71" i="6"/>
  <c r="M34" i="6"/>
  <c r="M35" i="6" s="1"/>
  <c r="M36" i="6"/>
  <c r="M62" i="6" s="1"/>
  <c r="J67" i="5"/>
  <c r="J77" i="5" s="1"/>
  <c r="L31" i="5"/>
  <c r="K32" i="5"/>
  <c r="K67" i="5" s="1"/>
  <c r="M58" i="5"/>
  <c r="N57" i="5"/>
  <c r="V61" i="4"/>
  <c r="V18" i="2"/>
  <c r="V55" i="2"/>
  <c r="V56" i="2"/>
  <c r="G59" i="2"/>
  <c r="I59" i="2"/>
  <c r="J59" i="2"/>
  <c r="K59" i="2"/>
  <c r="L59" i="2"/>
  <c r="M59" i="2"/>
  <c r="N59" i="2"/>
  <c r="O59" i="2"/>
  <c r="P59" i="2"/>
  <c r="Q59" i="2"/>
  <c r="R59" i="2"/>
  <c r="S59" i="2"/>
  <c r="T59" i="2"/>
  <c r="M63" i="11" l="1"/>
  <c r="M68" i="11" s="1"/>
  <c r="N37" i="11"/>
  <c r="R35" i="11"/>
  <c r="Q36" i="11"/>
  <c r="L67" i="10"/>
  <c r="N36" i="10"/>
  <c r="M62" i="10"/>
  <c r="N34" i="10"/>
  <c r="M35" i="10"/>
  <c r="M36" i="9"/>
  <c r="L62" i="9"/>
  <c r="L71" i="9" s="1"/>
  <c r="Q34" i="9"/>
  <c r="P35" i="9"/>
  <c r="Q33" i="8"/>
  <c r="P34" i="8"/>
  <c r="M67" i="8"/>
  <c r="O35" i="8"/>
  <c r="N61" i="8"/>
  <c r="N67" i="8" s="1"/>
  <c r="Q35" i="7"/>
  <c r="R34" i="7"/>
  <c r="N36" i="7"/>
  <c r="M62" i="7"/>
  <c r="M71" i="7" s="1"/>
  <c r="L71" i="7"/>
  <c r="M71" i="6"/>
  <c r="N36" i="6"/>
  <c r="N62" i="6" s="1"/>
  <c r="N34" i="6"/>
  <c r="N35" i="6" s="1"/>
  <c r="M31" i="5"/>
  <c r="L32" i="5"/>
  <c r="L67" i="5" s="1"/>
  <c r="N58" i="5"/>
  <c r="O57" i="5"/>
  <c r="H59" i="2"/>
  <c r="F59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G18" i="2"/>
  <c r="F18" i="2"/>
  <c r="V47" i="2"/>
  <c r="V48" i="2"/>
  <c r="V49" i="2"/>
  <c r="V50" i="2"/>
  <c r="V51" i="2"/>
  <c r="V52" i="2"/>
  <c r="N63" i="11" l="1"/>
  <c r="N68" i="11" s="1"/>
  <c r="O37" i="11"/>
  <c r="S35" i="11"/>
  <c r="R36" i="11"/>
  <c r="M67" i="10"/>
  <c r="O36" i="10"/>
  <c r="N62" i="10"/>
  <c r="O34" i="10"/>
  <c r="N35" i="10"/>
  <c r="R34" i="9"/>
  <c r="Q35" i="9"/>
  <c r="N36" i="9"/>
  <c r="M62" i="9"/>
  <c r="M71" i="9" s="1"/>
  <c r="P35" i="8"/>
  <c r="O61" i="8"/>
  <c r="O67" i="8" s="1"/>
  <c r="Q34" i="8"/>
  <c r="R33" i="8"/>
  <c r="N62" i="7"/>
  <c r="O36" i="7"/>
  <c r="S34" i="7"/>
  <c r="R35" i="7"/>
  <c r="N71" i="6"/>
  <c r="O34" i="6"/>
  <c r="O35" i="6" s="1"/>
  <c r="O36" i="6"/>
  <c r="O62" i="6" s="1"/>
  <c r="O71" i="6" s="1"/>
  <c r="M32" i="5"/>
  <c r="M67" i="5" s="1"/>
  <c r="N31" i="5"/>
  <c r="P57" i="5"/>
  <c r="O58" i="5"/>
  <c r="V20" i="2"/>
  <c r="V28" i="2"/>
  <c r="V19" i="2"/>
  <c r="V31" i="2"/>
  <c r="V32" i="2"/>
  <c r="V33" i="2"/>
  <c r="V34" i="2"/>
  <c r="V35" i="2"/>
  <c r="V36" i="2"/>
  <c r="V37" i="2"/>
  <c r="V38" i="2"/>
  <c r="V39" i="2"/>
  <c r="V40" i="2"/>
  <c r="V41" i="2"/>
  <c r="V42" i="2"/>
  <c r="V53" i="2"/>
  <c r="V30" i="2"/>
  <c r="F54" i="2"/>
  <c r="V54" i="2" s="1"/>
  <c r="T35" i="11" l="1"/>
  <c r="S36" i="11"/>
  <c r="P37" i="11"/>
  <c r="O63" i="11"/>
  <c r="O68" i="11" s="1"/>
  <c r="P34" i="10"/>
  <c r="O35" i="10"/>
  <c r="N67" i="10"/>
  <c r="O62" i="10"/>
  <c r="O67" i="10" s="1"/>
  <c r="P36" i="10"/>
  <c r="N62" i="9"/>
  <c r="N71" i="9" s="1"/>
  <c r="O36" i="9"/>
  <c r="R35" i="9"/>
  <c r="S34" i="9"/>
  <c r="R34" i="8"/>
  <c r="S33" i="8"/>
  <c r="Q35" i="8"/>
  <c r="P61" i="8"/>
  <c r="P67" i="8" s="1"/>
  <c r="N71" i="7"/>
  <c r="T34" i="7"/>
  <c r="T35" i="7" s="1"/>
  <c r="V35" i="7" s="1"/>
  <c r="S35" i="7"/>
  <c r="V34" i="7"/>
  <c r="P36" i="7"/>
  <c r="O62" i="7"/>
  <c r="O71" i="7" s="1"/>
  <c r="P36" i="6"/>
  <c r="P62" i="6" s="1"/>
  <c r="P34" i="6"/>
  <c r="P35" i="6" s="1"/>
  <c r="O31" i="5"/>
  <c r="N32" i="5"/>
  <c r="N67" i="5" s="1"/>
  <c r="Q57" i="5"/>
  <c r="P58" i="5"/>
  <c r="P61" i="2"/>
  <c r="V29" i="2"/>
  <c r="H61" i="2"/>
  <c r="O61" i="2"/>
  <c r="G61" i="2"/>
  <c r="M61" i="2"/>
  <c r="Q61" i="2"/>
  <c r="I61" i="2"/>
  <c r="N61" i="2"/>
  <c r="T61" i="2"/>
  <c r="S61" i="2"/>
  <c r="R61" i="2"/>
  <c r="J61" i="2"/>
  <c r="L61" i="2"/>
  <c r="K61" i="2"/>
  <c r="F61" i="2"/>
  <c r="Q37" i="11" l="1"/>
  <c r="P63" i="11"/>
  <c r="P68" i="11" s="1"/>
  <c r="T36" i="11"/>
  <c r="V36" i="11" s="1"/>
  <c r="V35" i="11"/>
  <c r="Q36" i="10"/>
  <c r="P62" i="10"/>
  <c r="Q34" i="10"/>
  <c r="P35" i="10"/>
  <c r="T34" i="9"/>
  <c r="S35" i="9"/>
  <c r="O62" i="9"/>
  <c r="O71" i="9" s="1"/>
  <c r="P36" i="9"/>
  <c r="R35" i="8"/>
  <c r="Q61" i="8"/>
  <c r="Q67" i="8" s="1"/>
  <c r="T33" i="8"/>
  <c r="S34" i="8"/>
  <c r="Q36" i="7"/>
  <c r="P62" i="7"/>
  <c r="P71" i="7" s="1"/>
  <c r="P71" i="6"/>
  <c r="Q34" i="6"/>
  <c r="Q35" i="6" s="1"/>
  <c r="Q36" i="6"/>
  <c r="Q62" i="6" s="1"/>
  <c r="Q71" i="6" s="1"/>
  <c r="O32" i="5"/>
  <c r="O67" i="5" s="1"/>
  <c r="P31" i="5"/>
  <c r="R57" i="5"/>
  <c r="Q58" i="5"/>
  <c r="V59" i="2"/>
  <c r="V61" i="2" s="1"/>
  <c r="R37" i="11" l="1"/>
  <c r="Q63" i="11"/>
  <c r="Q68" i="11" s="1"/>
  <c r="R34" i="10"/>
  <c r="Q35" i="10"/>
  <c r="P67" i="10"/>
  <c r="R36" i="10"/>
  <c r="Q62" i="10"/>
  <c r="Q36" i="9"/>
  <c r="P62" i="9"/>
  <c r="P71" i="9" s="1"/>
  <c r="T35" i="9"/>
  <c r="V35" i="9" s="1"/>
  <c r="V34" i="9"/>
  <c r="T34" i="8"/>
  <c r="V34" i="8" s="1"/>
  <c r="V33" i="8"/>
  <c r="S35" i="8"/>
  <c r="R61" i="8"/>
  <c r="R67" i="8" s="1"/>
  <c r="R36" i="7"/>
  <c r="Q62" i="7"/>
  <c r="Q71" i="7" s="1"/>
  <c r="R36" i="6"/>
  <c r="R62" i="6" s="1"/>
  <c r="R34" i="6"/>
  <c r="R35" i="6" s="1"/>
  <c r="Q31" i="5"/>
  <c r="P32" i="5"/>
  <c r="P67" i="5" s="1"/>
  <c r="S57" i="5"/>
  <c r="R58" i="5"/>
  <c r="S37" i="11" l="1"/>
  <c r="R63" i="11"/>
  <c r="R68" i="11" s="1"/>
  <c r="Q67" i="10"/>
  <c r="R62" i="10"/>
  <c r="R67" i="10" s="1"/>
  <c r="S36" i="10"/>
  <c r="S34" i="10"/>
  <c r="R35" i="10"/>
  <c r="R36" i="9"/>
  <c r="Q62" i="9"/>
  <c r="Q71" i="9" s="1"/>
  <c r="S61" i="8"/>
  <c r="S67" i="8" s="1"/>
  <c r="T35" i="8"/>
  <c r="S36" i="7"/>
  <c r="R62" i="7"/>
  <c r="R71" i="7" s="1"/>
  <c r="R71" i="6"/>
  <c r="S34" i="6"/>
  <c r="S35" i="6" s="1"/>
  <c r="S36" i="6"/>
  <c r="S62" i="6" s="1"/>
  <c r="R31" i="5"/>
  <c r="Q32" i="5"/>
  <c r="T57" i="5"/>
  <c r="S58" i="5"/>
  <c r="T37" i="11" l="1"/>
  <c r="S63" i="11"/>
  <c r="S68" i="11" s="1"/>
  <c r="S62" i="10"/>
  <c r="S67" i="10" s="1"/>
  <c r="T36" i="10"/>
  <c r="T34" i="10"/>
  <c r="S35" i="10"/>
  <c r="R62" i="9"/>
  <c r="R71" i="9" s="1"/>
  <c r="S36" i="9"/>
  <c r="T61" i="8"/>
  <c r="V35" i="8"/>
  <c r="S62" i="7"/>
  <c r="S71" i="7" s="1"/>
  <c r="T36" i="7"/>
  <c r="S71" i="6"/>
  <c r="T36" i="6"/>
  <c r="T62" i="6" s="1"/>
  <c r="T34" i="6"/>
  <c r="T35" i="6" s="1"/>
  <c r="Q67" i="5"/>
  <c r="R32" i="5"/>
  <c r="R67" i="5" s="1"/>
  <c r="S31" i="5"/>
  <c r="T58" i="5"/>
  <c r="V57" i="5"/>
  <c r="T63" i="11" l="1"/>
  <c r="V37" i="11"/>
  <c r="T35" i="10"/>
  <c r="V35" i="10" s="1"/>
  <c r="V34" i="10"/>
  <c r="T62" i="10"/>
  <c r="V36" i="10"/>
  <c r="T36" i="9"/>
  <c r="S62" i="9"/>
  <c r="S71" i="9" s="1"/>
  <c r="T67" i="8"/>
  <c r="V61" i="8"/>
  <c r="V67" i="8" s="1"/>
  <c r="T62" i="7"/>
  <c r="V36" i="7"/>
  <c r="T71" i="6"/>
  <c r="V35" i="6"/>
  <c r="V36" i="6"/>
  <c r="T31" i="5"/>
  <c r="S32" i="5"/>
  <c r="S67" i="5" s="1"/>
  <c r="V58" i="5"/>
  <c r="T68" i="11" l="1"/>
  <c r="V63" i="11"/>
  <c r="V68" i="11" s="1"/>
  <c r="T67" i="10"/>
  <c r="V62" i="10"/>
  <c r="V67" i="10" s="1"/>
  <c r="T62" i="9"/>
  <c r="T71" i="9" s="1"/>
  <c r="V36" i="9"/>
  <c r="T71" i="7"/>
  <c r="V62" i="7"/>
  <c r="V71" i="7" s="1"/>
  <c r="V62" i="6"/>
  <c r="V71" i="6" s="1"/>
  <c r="T32" i="5"/>
  <c r="T67" i="5" s="1"/>
  <c r="V31" i="5"/>
  <c r="V62" i="9" l="1"/>
  <c r="V71" i="9" s="1"/>
  <c r="V32" i="5"/>
  <c r="V67" i="5" s="1"/>
</calcChain>
</file>

<file path=xl/sharedStrings.xml><?xml version="1.0" encoding="utf-8"?>
<sst xmlns="http://schemas.openxmlformats.org/spreadsheetml/2006/main" count="803" uniqueCount="166">
  <si>
    <t>Cuadro Nº  6‑1: Programa de Inversiones por etapa</t>
  </si>
  <si>
    <t>Etapa</t>
  </si>
  <si>
    <t>Obra -  Designación</t>
  </si>
  <si>
    <t>Monto Inversión Anual (UF)</t>
  </si>
  <si>
    <t>Producción</t>
  </si>
  <si>
    <t>Cambio de bombas. PEAP Cuesta de Soto</t>
  </si>
  <si>
    <t>Distribución</t>
  </si>
  <si>
    <t>Recolección</t>
  </si>
  <si>
    <t>Disposición</t>
  </si>
  <si>
    <t>Cloración EDAS.  Equipo adicional cloro gas</t>
  </si>
  <si>
    <t>TOTAL GENERAL</t>
  </si>
  <si>
    <t>Ampliación capacidad PTAP Cuesta de Soto</t>
  </si>
  <si>
    <t>Aumento capacidad cloración PTAP Cuesta de Soto</t>
  </si>
  <si>
    <t>Aumento capacidad flouración PTAP Cuesta de Soto</t>
  </si>
  <si>
    <t>Refuerzo Conducción Gral. Lagos III, 314 m, 355 mm</t>
  </si>
  <si>
    <t>Refuerzo Conducción Gral. Lagos V, 676 m, 450 mm</t>
  </si>
  <si>
    <t>TOTAL</t>
  </si>
  <si>
    <t>Total Producción</t>
  </si>
  <si>
    <t>Total Distribución</t>
  </si>
  <si>
    <t>Total Recolección</t>
  </si>
  <si>
    <t>Total Disposición</t>
  </si>
  <si>
    <t xml:space="preserve">  </t>
  </si>
  <si>
    <t xml:space="preserve"> </t>
  </si>
  <si>
    <t>Refuerzo Cond. Monttt - Baquedano Tramo 2, 594 m, 250 mm</t>
  </si>
  <si>
    <r>
      <t xml:space="preserve">Renovación de Red de Agua Potable= </t>
    </r>
    <r>
      <rPr>
        <b/>
        <sz val="9"/>
        <rFont val="Arial Narrow"/>
        <family val="2"/>
      </rPr>
      <t>2.000 ml/año (***)</t>
    </r>
  </si>
  <si>
    <r>
      <t xml:space="preserve">Renovación de Red de Alcantarillado= </t>
    </r>
    <r>
      <rPr>
        <b/>
        <sz val="9"/>
        <rFont val="Arial Narrow"/>
        <family val="2"/>
      </rPr>
      <t xml:space="preserve">1.000 ml/año </t>
    </r>
    <r>
      <rPr>
        <sz val="9"/>
        <rFont val="Arial Narrow"/>
        <family val="2"/>
      </rPr>
      <t>(***)</t>
    </r>
  </si>
  <si>
    <t>Refuerzo Conducción Balmaceda Tramo 2, 125 m, 200 mm</t>
  </si>
  <si>
    <t>Refuerzo Cond. Baquedano Tramo 1, 448 m, 315mm</t>
  </si>
  <si>
    <t>Refuerzo Conducción Kramer I Tramo 2, 207 m, 355 mm</t>
  </si>
  <si>
    <t>Refuerzo Conducción Kramer II Tramo 1, 461 m, 450 mm</t>
  </si>
  <si>
    <t>PEAS Balmaceda. Cambio de bombas (inlcuida en cronograma vigente)</t>
  </si>
  <si>
    <t>PEAS San Martín. Cambio de bombas</t>
  </si>
  <si>
    <t>PEAS Bosque Sur. Cambio de bombas</t>
  </si>
  <si>
    <t xml:space="preserve">Instalación 6 grifos </t>
  </si>
  <si>
    <t>Ampliación EDAS. 110 l/s.</t>
  </si>
  <si>
    <t>Renovación cuarteles (según PR48).  (*)</t>
  </si>
  <si>
    <t xml:space="preserve"> (*) La inversión de renovación de redes AP, según diagnóstico de PR048, se encuentra en ejecución.</t>
  </si>
  <si>
    <t>Nota:</t>
  </si>
  <si>
    <t>(**) La inversión en renovación de redes AS, según diagnóstico de PR13</t>
  </si>
  <si>
    <t>Inspección televisiva y renovación de colectores. Diagnóstico PR013 (580 metros)</t>
  </si>
  <si>
    <t/>
  </si>
  <si>
    <t xml:space="preserve">PEAS Bueras. Cambio de bombas </t>
  </si>
  <si>
    <t xml:space="preserve">PEAS Meridiem. Cambio de bombas </t>
  </si>
  <si>
    <t>PEAS Austral. Cambio de bombas</t>
  </si>
  <si>
    <t>se adelanta de 2028 a 2026</t>
  </si>
  <si>
    <t>Se adelanta de 2030 a 2027</t>
  </si>
  <si>
    <t>Refuerzo red xxxxx</t>
  </si>
  <si>
    <t>Definir longitud y montos</t>
  </si>
  <si>
    <t>Macromedidor salida PEAP Cuesta de Soto. D=600mm</t>
  </si>
  <si>
    <t>Macromedidor Aducción Cuesta de Soto a Estanques Inés de Suárez. D=400mm</t>
  </si>
  <si>
    <t>Macromedidor Aducción PTAPCuesta de Soto a Estanque Picarte. D=700mm</t>
  </si>
  <si>
    <t>se adelanta respecto de primer cronograma</t>
  </si>
  <si>
    <t>se considera monto de inversión del PD 2019</t>
  </si>
  <si>
    <t>Se adelanta de 2034 a 2031</t>
  </si>
  <si>
    <t>Se adelanta de 2034 a 2032</t>
  </si>
  <si>
    <t>Se adelanta de 2034 a 2033</t>
  </si>
  <si>
    <t>Se adelanta de 2031 a 2028</t>
  </si>
  <si>
    <t>Renovación de manifold en PEAS Los Pelúes</t>
  </si>
  <si>
    <t>Ampliación EDAS. Qmax=160 l/s.</t>
  </si>
  <si>
    <t>Refuerzo red Las Encinas. Isla Teja. HDPE 355mm, L=209m</t>
  </si>
  <si>
    <t>Encapsulamiento Tratamiento Primario (OF SISS NC-3261/2023)</t>
  </si>
  <si>
    <t xml:space="preserve">Renovación cuarteles (según PR48). </t>
  </si>
  <si>
    <t>Inspección televisiva y renovación de colectores. Diagnóstico PR013 (580 metros) (**)</t>
  </si>
  <si>
    <r>
      <t xml:space="preserve">Renovación de Red de Agua Potable= </t>
    </r>
    <r>
      <rPr>
        <b/>
        <sz val="9"/>
        <rFont val="Arial Narrow"/>
        <family val="2"/>
      </rPr>
      <t>2.000 ml/año (*)</t>
    </r>
  </si>
  <si>
    <t>Encapsulamiento Sedimentadores (OF SISS NC-3261/2023) (****)</t>
  </si>
  <si>
    <t>(****) El encapsulamiento de los sedimentadores está condicionado a la aprobación de EIA de la EDAS.</t>
  </si>
  <si>
    <t>Macromedidor Aducción PTAP Llancahue a Estanque Picarte. D=700mm</t>
  </si>
  <si>
    <t>Generador móvil para PEAS San Carlos (PE16). 180 KVA</t>
  </si>
  <si>
    <t>Generador móvil  para PEASCarampangue.  45 KVA (**)</t>
  </si>
  <si>
    <t>Generador móvil para PEAS Janequeo (PE17). 60 KVA</t>
  </si>
  <si>
    <t>Generador móvil para PEAS Balmaceda (PE19). 40 KVA</t>
  </si>
  <si>
    <t>Generador móvil para PEAS Ecuador (PE06).  120 KVA</t>
  </si>
  <si>
    <t>Generador móvil para PEAS Santa María (PE25). 30 KVA</t>
  </si>
  <si>
    <t>Generador móvil  para PEAS España (PE18). 40 KVA</t>
  </si>
  <si>
    <t>Generador móvil para Presurizadora Mahuiza (OP04). 60 KVA</t>
  </si>
  <si>
    <t>(**) La inversión en generador PEAS Carampangue considera reacondicionamiento de generador existente como GE móvil</t>
  </si>
  <si>
    <t>(***) La inversión en renovación de redes AS, según diagnóstico de PR13</t>
  </si>
  <si>
    <t>Extensión de impulsión PEAS Bueras. HDPE; D=500mm; L=712 m</t>
  </si>
  <si>
    <t>Inspección televisiva y renovación de colectores. Diagnóstico PR013 (580 metros) (***)</t>
  </si>
  <si>
    <t>Refuerzo de red sector Baquedano. HDPE; D=450mm; L=1.000 m</t>
  </si>
  <si>
    <t>Refuerzo red Sector San Luis. HDPE; 450 mm; L=710m</t>
  </si>
  <si>
    <t>Refuerzo red Sector Carampangue 1. HDPE; 450 mm; L=240m</t>
  </si>
  <si>
    <t>Refuerzo red Sector Carampangue 2. HDPE; 450 mm; L=330m</t>
  </si>
  <si>
    <t>Refuerzo red sector Avda. Alemania. HDPE; D=500mm; L=370m.</t>
  </si>
  <si>
    <t>Refuerzo Alimentadora Inés de Suárez. HDPE; D=500mm; L=800m.</t>
  </si>
  <si>
    <t>Refuerzo calle Pedro Montt. HDPE; D=450mm; L=520m.</t>
  </si>
  <si>
    <t>Renovación Calle Camilio Herniquez. Etapa 1. HDPE; D=355mm; L=111m.</t>
  </si>
  <si>
    <t>Renovación Calle Camilio Herniquez. Etapa 2. HDPE; D=355mm; L=124m.</t>
  </si>
  <si>
    <t>Renovación Calle Chacabuco. HDPE; D=355mm; L=137m.</t>
  </si>
  <si>
    <t>Encapsulamiento Pretratamiento (OF SISS NC-3261/2023)</t>
  </si>
  <si>
    <t>Macromedidor Aducción PTAP Cuesta de Soto a Estanque Picarte. D=700mm</t>
  </si>
  <si>
    <t>ESTE ES EL DE LA OBS SISS</t>
  </si>
  <si>
    <t>Detallada la ubicación en respuestas a Minuta</t>
  </si>
  <si>
    <t>Estanque de 500 m3</t>
  </si>
  <si>
    <t xml:space="preserve">Estanque SE. Inés de Suárez IV.  500 m3. </t>
  </si>
  <si>
    <t>según obs, se debe incluir en este PD</t>
  </si>
  <si>
    <t>Se cambia de 2028 a 2027</t>
  </si>
  <si>
    <t>Se adelanta 1 año</t>
  </si>
  <si>
    <r>
      <t xml:space="preserve">Renovación de Red de Agua Potable= </t>
    </r>
    <r>
      <rPr>
        <b/>
        <sz val="9"/>
        <rFont val="Arial Narrow"/>
        <family val="2"/>
      </rPr>
      <t>2.500 ml/año (*)</t>
    </r>
  </si>
  <si>
    <t>PEAS Bosque Sur. Medidas para mitigar olores</t>
  </si>
  <si>
    <t>Obs 15</t>
  </si>
  <si>
    <t>PEAS Miraflores. Habilitación de by-pass (o aliviadero)</t>
  </si>
  <si>
    <t>Inspección televisiva de colectores, según diagnóstico PR013 (***)</t>
  </si>
  <si>
    <r>
      <t xml:space="preserve">Renovación de Red de Alcantarillado= </t>
    </r>
    <r>
      <rPr>
        <b/>
        <sz val="9"/>
        <rFont val="Arial Narrow"/>
        <family val="2"/>
      </rPr>
      <t xml:space="preserve">1.500 ml/año </t>
    </r>
    <r>
      <rPr>
        <sz val="9"/>
        <rFont val="Arial Narrow"/>
        <family val="2"/>
      </rPr>
      <t>(****)</t>
    </r>
  </si>
  <si>
    <t>(*****) A la fecha, esta obra se encuentra ejecutada</t>
  </si>
  <si>
    <t>PEAS Balmaceda. Cambio de bombas (*****)</t>
  </si>
  <si>
    <t>Encapsulado de los dos sedimentadores primarios con domos</t>
  </si>
  <si>
    <t>Encapsulamiento Pretratamiento (OF SISS NC-3261/2023) (*****)</t>
  </si>
  <si>
    <t>Habilitación de tratamiento de gases odorantes por biofiltros (Sector 2)</t>
  </si>
  <si>
    <t>Interconexión sistema encapsulado con biofiltros en Sector 2</t>
  </si>
  <si>
    <r>
      <t xml:space="preserve"> (*) La inversión de renovación de redes AP, según diagnóstico de PR048, se encuentra en ejecución en el año </t>
    </r>
    <r>
      <rPr>
        <b/>
        <sz val="8"/>
        <color rgb="FFFF0000"/>
        <rFont val="Corbel"/>
        <family val="2"/>
      </rPr>
      <t>2024</t>
    </r>
    <r>
      <rPr>
        <b/>
        <sz val="8"/>
        <rFont val="Corbel"/>
        <family val="2"/>
      </rPr>
      <t>. Se aumentan 500 ml de renovación a contar del año 2025.</t>
    </r>
  </si>
  <si>
    <r>
      <t xml:space="preserve">(***) Los ml de ITV se determinarán según diagnóstico de PR13 </t>
    </r>
    <r>
      <rPr>
        <b/>
        <sz val="8"/>
        <color rgb="FFFF0000"/>
        <rFont val="Corbel"/>
        <family val="2"/>
      </rPr>
      <t>sobre la base de la guía de elaboración de PD</t>
    </r>
    <r>
      <rPr>
        <b/>
        <sz val="8"/>
        <rFont val="Corbel"/>
        <family val="2"/>
      </rPr>
      <t>, año a año.</t>
    </r>
  </si>
  <si>
    <r>
      <t xml:space="preserve"> (****)</t>
    </r>
    <r>
      <rPr>
        <b/>
        <sz val="8"/>
        <color rgb="FFFF0000"/>
        <rFont val="Corbel"/>
        <family val="2"/>
      </rPr>
      <t xml:space="preserve"> La inversión de renovación de redes AS se encuentra en ejecución para el año 2024</t>
    </r>
    <r>
      <rPr>
        <b/>
        <sz val="8"/>
        <rFont val="Corbel"/>
        <family val="2"/>
      </rPr>
      <t>. Se aumentan 500 ml de renovación de redes AS a contar del año 2025.</t>
    </r>
  </si>
  <si>
    <t xml:space="preserve"> (*) La inversión de renovación de redes AP, según diagnóstico de PR048, se encuentra en ejecución en el año 2024. Se aumentan 500 ml de renovación a contar del año 2025.</t>
  </si>
  <si>
    <t>(***) Los ml de ITV se determinarán según diagnóstico de PR13 sobre la base de la guía de elaboración de PD, año a año.</t>
  </si>
  <si>
    <t xml:space="preserve"> (****) La inversión de renovación de redes AS se encuentra en ejecución para el año 2024. Se aumentan 500 ml de renovación de redes AS a contar del año 2025.</t>
  </si>
  <si>
    <t>Gerente General</t>
  </si>
  <si>
    <t>Aguas Décima S.A.</t>
  </si>
  <si>
    <t>Salvador Villarino Krumm</t>
  </si>
  <si>
    <t>Valdivia, junio 2024.</t>
  </si>
  <si>
    <t>Cronograma de Inversiones 2023-2037</t>
  </si>
  <si>
    <t>AGUAS DECIMA S.A.</t>
  </si>
  <si>
    <t>SC 14 - 01</t>
  </si>
  <si>
    <r>
      <t xml:space="preserve">Renovación de Red de Alcantarillado= </t>
    </r>
    <r>
      <rPr>
        <b/>
        <sz val="9"/>
        <rFont val="Arial Narrow"/>
        <family val="2"/>
      </rPr>
      <t xml:space="preserve">1.000 ml/año </t>
    </r>
    <r>
      <rPr>
        <sz val="9"/>
        <rFont val="Arial Narrow"/>
        <family val="2"/>
      </rPr>
      <t>(****)</t>
    </r>
  </si>
  <si>
    <t>REPOSICION</t>
  </si>
  <si>
    <t>INVERSION</t>
  </si>
  <si>
    <t>PEAS Miraflores. Habilitación de by-pass (o aliviadero) (junio 2025)</t>
  </si>
  <si>
    <t>Refuerzo Conducción Kramer I Tramo 2, entre CI Nº1106 y CI Nº 10849.                   Total 207 m, 355 mm</t>
  </si>
  <si>
    <t>Refuerzo Conducción Kramer II Tramo 1, entre CI  Nº 10852 y CI Nº 4164.                 Total 461 m, 450 mm</t>
  </si>
  <si>
    <t>Refuerzo Conducción Gral. Lagos III, entre CI Nº 2983 y CI Nº 2973.                        Total  314 m, 355 mm</t>
  </si>
  <si>
    <t>Refuerzo Cond. Baquedano Tramo 1, entre CI Nº 3179 y CI Nº 2946.                        Total 448 m, 315mm</t>
  </si>
  <si>
    <t>Refuerzo Cond. Monttt - Baquedano Tramo 2, entre CI Nº 3169 y CI Nº 3179.                        Total 594 m, 250 mm</t>
  </si>
  <si>
    <t>Refuerzo Conducción Balmaceda Tramo 2, entre CI Nº 1007 y CI Nº 1003.                        Total 125 m, 200 mm</t>
  </si>
  <si>
    <t>Extensión de impulsión PEAS Bueras entre PEAS y CI Nº 585.                         HDPE; D=500mm; L=712 m</t>
  </si>
  <si>
    <t>Encapsulamiento Sedimentadores Primarios (OF SISS NC-3261/2023)</t>
  </si>
  <si>
    <t>Conducción de gases a tratamiento, interconexión domo a Biofiltros 2 (OF SISS NC-3261/2023)</t>
  </si>
  <si>
    <t>Instalación y habilitación de Biofiltros en sector 2 (OF SISS NC-3261/2023)</t>
  </si>
  <si>
    <t>Refuerzo de red sector Baquedano, entre nodos PM12-33298 y BB5-22340. HDPE; D=450mm; L=1.000 m</t>
  </si>
  <si>
    <t>Refuerzo red Sector Carampangue 1, entre nodos CC25-23023 y CC24-22113.                                 HDPE; 450 mm; L=240m</t>
  </si>
  <si>
    <t>Refuerzo red Sector Carampangue 2,entre nodos CC5-22115 y 70.                                 HDPE; 450 mm; L=330m</t>
  </si>
  <si>
    <t>Refuerzo red sector Avda. Alemania, entre nodos CC24-23035 y CC24-23023.                                 HDPE; D=500mm; L=370m.</t>
  </si>
  <si>
    <t>Refuerzo calle Pedro Montt, entre nodos 3488 y CC13-23086.                                  HDPE; D=450mm; L=520m.</t>
  </si>
  <si>
    <t>Renovación Calle Camilio Herniquez. Etapa 1, entre nodos CC5-22140 y CC5-22149.  HDPE; D=355mm; L=111m.</t>
  </si>
  <si>
    <t>Renovación Calle Camilio Herniquez. Etapa 2, entre nodos CC5-22115 y CC5-22140. HDPE; D=355mm; L=124m.</t>
  </si>
  <si>
    <t>Renovación Calle Chacabuco, entre nodos CC5-22140 y CC24-22143.                                 HDPE; D=355mm; L=137m.</t>
  </si>
  <si>
    <t>(**) Los ml de ITV se determinarán según diagnóstico de PR13 sobre la base de la guía de elaboración de PD, año a año. La longitud indicada es estimada.</t>
  </si>
  <si>
    <t>(***) La inversión de renovación de redes AS se encuentra en ejecución para el año 2024. Se aumentan 500 ml de renovación de redes AS a contar del año 2025.</t>
  </si>
  <si>
    <r>
      <t xml:space="preserve">Renovación de Red de Alcantarillado= </t>
    </r>
    <r>
      <rPr>
        <b/>
        <sz val="9"/>
        <rFont val="Arial Narrow"/>
        <family val="2"/>
      </rPr>
      <t xml:space="preserve">1.500 ml/año </t>
    </r>
    <r>
      <rPr>
        <sz val="9"/>
        <rFont val="Arial Narrow"/>
        <family val="2"/>
      </rPr>
      <t>(***)</t>
    </r>
  </si>
  <si>
    <t>(****) A la fecha, esta obra se encuentra ejecutada</t>
  </si>
  <si>
    <t>PEAS Balmaceda. Cambio de bombas (****)</t>
  </si>
  <si>
    <t>Refuerzo Alimentadora Inés de Suárez, entre nodos CC12-24238 y 115.                                 HDPE; D=500mm; L=800m.</t>
  </si>
  <si>
    <t>(ubicados en Ramón Picarte 3981; Intersección Ramón Picarte con Las Azaleas; Las Parras frente a Nº17; Intersección Avda España con Pasaje Sevilla; Intersección Avda Balmaceda con Callejón Stolzebach; Calle Nueva frente Nº280 - Villa Los Encinos).</t>
  </si>
  <si>
    <t>PEAS Bosque Sur. Instalación de sistema de control de olores en PEAS</t>
  </si>
  <si>
    <t>Generador móvil para Presurizadora Mahuiza (OP04). 60 KVA  (*****)</t>
  </si>
  <si>
    <t>Inspección televisiva de colectores, según diagnóstico PR013. Longitud estimada entre 1.000 y 1.200 ml (abril de cada año) (**)</t>
  </si>
  <si>
    <t>Generador móvil para PEAS Janequeo (PE17). 60 KVA (*****)</t>
  </si>
  <si>
    <t>Generador móvil para PEAS Balmaceda (PE19). 40 KVA (*****)</t>
  </si>
  <si>
    <t>Generador móvil para PEAS Ecuador (PE06).  120 KVA (*****)</t>
  </si>
  <si>
    <t>Generador móvil para PEAS Santa María (PE25). 30 KVA (*****)</t>
  </si>
  <si>
    <t>Generador móvil  para PEAS España (PE18). 40 KVA (*****)</t>
  </si>
  <si>
    <t>Refuerzo red Sector San Luis, entre nodos K5-24 y 74.                                        HDPE; 450 mm; L=710m</t>
  </si>
  <si>
    <t>Generador móvil  para PEAS Carampangue (PE01).  45 KVA (*****)</t>
  </si>
  <si>
    <t>(*****) La potencia indicada en los generadores es referencial y en definitiva se definirá en la etapa de proyecto, para cumplir con el requerimiento técnico de la instalación.</t>
  </si>
  <si>
    <t>Valdivia, octubre 2024.</t>
  </si>
  <si>
    <t>Modelación de redes de distribución de agua potable</t>
  </si>
  <si>
    <t>Valdivia,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</si>
</sst>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#,##0\ 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rgb="FF0000FF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8"/>
      <name val="Corbe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Arial Narrow"/>
      <family val="2"/>
    </font>
    <font>
      <b/>
      <sz val="8"/>
      <color rgb="FFFF0000"/>
      <name val="Corbel"/>
      <family val="2"/>
    </font>
    <font>
      <sz val="9"/>
      <color rgb="FFFF0000"/>
      <name val="Arial Narrow"/>
      <family val="2"/>
    </font>
    <font>
      <b/>
      <sz val="11"/>
      <name val="Arial Narrow"/>
      <family val="2"/>
    </font>
    <font>
      <b/>
      <sz val="7"/>
      <name val="Corbel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9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indent="1"/>
    </xf>
    <xf numFmtId="164" fontId="1" fillId="2" borderId="5" xfId="0" applyNumberFormat="1" applyFont="1" applyFill="1" applyBorder="1"/>
    <xf numFmtId="0" fontId="1" fillId="2" borderId="6" xfId="0" applyFont="1" applyFill="1" applyBorder="1" applyAlignment="1">
      <alignment horizontal="left" indent="1"/>
    </xf>
    <xf numFmtId="164" fontId="1" fillId="2" borderId="6" xfId="0" applyNumberFormat="1" applyFont="1" applyFill="1" applyBorder="1"/>
    <xf numFmtId="0" fontId="1" fillId="2" borderId="7" xfId="0" applyFont="1" applyFill="1" applyBorder="1" applyAlignment="1">
      <alignment horizontal="left" indent="1"/>
    </xf>
    <xf numFmtId="0" fontId="1" fillId="2" borderId="6" xfId="0" applyFont="1" applyFill="1" applyBorder="1" applyAlignment="1">
      <alignment horizontal="left" vertical="top" indent="1"/>
    </xf>
    <xf numFmtId="164" fontId="3" fillId="2" borderId="7" xfId="0" applyNumberFormat="1" applyFont="1" applyFill="1" applyBorder="1"/>
    <xf numFmtId="0" fontId="1" fillId="0" borderId="6" xfId="0" applyFont="1" applyBorder="1" applyAlignment="1">
      <alignment horizontal="left" indent="1"/>
    </xf>
    <xf numFmtId="164" fontId="1" fillId="0" borderId="6" xfId="0" applyNumberFormat="1" applyFont="1" applyBorder="1"/>
    <xf numFmtId="0" fontId="1" fillId="3" borderId="1" xfId="0" applyFont="1" applyFill="1" applyBorder="1" applyAlignment="1">
      <alignment horizontal="left" indent="1"/>
    </xf>
    <xf numFmtId="164" fontId="1" fillId="3" borderId="1" xfId="0" applyNumberFormat="1" applyFont="1" applyFill="1" applyBorder="1"/>
    <xf numFmtId="164" fontId="1" fillId="0" borderId="0" xfId="0" applyNumberFormat="1" applyFont="1"/>
    <xf numFmtId="165" fontId="1" fillId="0" borderId="0" xfId="0" applyNumberFormat="1" applyFont="1"/>
    <xf numFmtId="164" fontId="4" fillId="2" borderId="6" xfId="0" applyNumberFormat="1" applyFont="1" applyFill="1" applyBorder="1"/>
    <xf numFmtId="0" fontId="5" fillId="2" borderId="6" xfId="0" applyFont="1" applyFill="1" applyBorder="1" applyAlignment="1">
      <alignment horizontal="left" indent="1"/>
    </xf>
    <xf numFmtId="164" fontId="5" fillId="2" borderId="6" xfId="0" applyNumberFormat="1" applyFont="1" applyFill="1" applyBorder="1"/>
    <xf numFmtId="0" fontId="7" fillId="0" borderId="0" xfId="0" applyFont="1" applyAlignment="1">
      <alignment horizontal="left" vertical="center"/>
    </xf>
    <xf numFmtId="164" fontId="1" fillId="4" borderId="6" xfId="0" applyNumberFormat="1" applyFont="1" applyFill="1" applyBorder="1"/>
    <xf numFmtId="164" fontId="1" fillId="4" borderId="5" xfId="0" applyNumberFormat="1" applyFont="1" applyFill="1" applyBorder="1"/>
    <xf numFmtId="164" fontId="5" fillId="5" borderId="6" xfId="0" applyNumberFormat="1" applyFont="1" applyFill="1" applyBorder="1"/>
    <xf numFmtId="0" fontId="1" fillId="0" borderId="0" xfId="0" applyFont="1" applyAlignment="1">
      <alignment horizontal="center"/>
    </xf>
    <xf numFmtId="164" fontId="1" fillId="6" borderId="6" xfId="0" applyNumberFormat="1" applyFont="1" applyFill="1" applyBorder="1"/>
    <xf numFmtId="0" fontId="1" fillId="6" borderId="6" xfId="0" applyFont="1" applyFill="1" applyBorder="1" applyAlignment="1">
      <alignment horizontal="left" indent="1"/>
    </xf>
    <xf numFmtId="41" fontId="1" fillId="0" borderId="0" xfId="1" applyFont="1"/>
    <xf numFmtId="164" fontId="5" fillId="6" borderId="6" xfId="0" applyNumberFormat="1" applyFont="1" applyFill="1" applyBorder="1"/>
    <xf numFmtId="164" fontId="1" fillId="6" borderId="5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164" fontId="5" fillId="4" borderId="6" xfId="0" applyNumberFormat="1" applyFont="1" applyFill="1" applyBorder="1"/>
    <xf numFmtId="0" fontId="1" fillId="4" borderId="6" xfId="0" applyFont="1" applyFill="1" applyBorder="1" applyAlignment="1">
      <alignment horizontal="left" indent="1"/>
    </xf>
    <xf numFmtId="164" fontId="1" fillId="2" borderId="7" xfId="0" applyNumberFormat="1" applyFont="1" applyFill="1" applyBorder="1"/>
    <xf numFmtId="0" fontId="1" fillId="7" borderId="6" xfId="0" applyFont="1" applyFill="1" applyBorder="1" applyAlignment="1">
      <alignment horizontal="left" indent="1"/>
    </xf>
    <xf numFmtId="164" fontId="1" fillId="7" borderId="6" xfId="0" applyNumberFormat="1" applyFont="1" applyFill="1" applyBorder="1"/>
    <xf numFmtId="164" fontId="5" fillId="0" borderId="6" xfId="0" applyNumberFormat="1" applyFont="1" applyBorder="1"/>
    <xf numFmtId="164" fontId="12" fillId="4" borderId="6" xfId="0" applyNumberFormat="1" applyFont="1" applyFill="1" applyBorder="1"/>
    <xf numFmtId="164" fontId="1" fillId="7" borderId="6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5" xfId="0" applyFont="1" applyFill="1" applyBorder="1" applyAlignment="1">
      <alignment horizontal="left" indent="1"/>
    </xf>
    <xf numFmtId="164" fontId="5" fillId="2" borderId="5" xfId="0" applyNumberFormat="1" applyFont="1" applyFill="1" applyBorder="1"/>
    <xf numFmtId="0" fontId="5" fillId="2" borderId="6" xfId="0" applyFont="1" applyFill="1" applyBorder="1" applyAlignment="1">
      <alignment horizontal="left" vertical="top" indent="1"/>
    </xf>
    <xf numFmtId="0" fontId="6" fillId="0" borderId="0" xfId="0" applyFont="1"/>
    <xf numFmtId="0" fontId="5" fillId="3" borderId="1" xfId="0" applyFont="1" applyFill="1" applyBorder="1" applyAlignment="1">
      <alignment horizontal="left" indent="1"/>
    </xf>
    <xf numFmtId="164" fontId="5" fillId="3" borderId="1" xfId="0" applyNumberFormat="1" applyFont="1" applyFill="1" applyBorder="1"/>
    <xf numFmtId="164" fontId="6" fillId="2" borderId="6" xfId="0" applyNumberFormat="1" applyFont="1" applyFill="1" applyBorder="1"/>
    <xf numFmtId="0" fontId="5" fillId="0" borderId="6" xfId="0" applyFont="1" applyBorder="1" applyAlignment="1">
      <alignment horizontal="left" indent="1"/>
    </xf>
    <xf numFmtId="0" fontId="5" fillId="2" borderId="7" xfId="0" applyFont="1" applyFill="1" applyBorder="1" applyAlignment="1">
      <alignment horizontal="left" indent="1"/>
    </xf>
    <xf numFmtId="164" fontId="6" fillId="2" borderId="7" xfId="0" applyNumberFormat="1" applyFont="1" applyFill="1" applyBorder="1"/>
    <xf numFmtId="164" fontId="5" fillId="0" borderId="0" xfId="0" applyNumberFormat="1" applyFont="1"/>
    <xf numFmtId="2" fontId="5" fillId="0" borderId="0" xfId="0" applyNumberFormat="1" applyFont="1"/>
    <xf numFmtId="0" fontId="5" fillId="4" borderId="6" xfId="0" applyFont="1" applyFill="1" applyBorder="1" applyAlignment="1">
      <alignment horizontal="left" indent="1"/>
    </xf>
    <xf numFmtId="0" fontId="5" fillId="4" borderId="0" xfId="0" applyFont="1" applyFill="1"/>
    <xf numFmtId="164" fontId="6" fillId="4" borderId="6" xfId="0" applyNumberFormat="1" applyFont="1" applyFill="1" applyBorder="1"/>
    <xf numFmtId="0" fontId="5" fillId="2" borderId="0" xfId="0" applyFont="1" applyFill="1" applyAlignment="1">
      <alignment horizontal="right"/>
    </xf>
    <xf numFmtId="0" fontId="14" fillId="2" borderId="0" xfId="0" applyFont="1" applyFill="1" applyAlignment="1">
      <alignment horizontal="left" vertical="center"/>
    </xf>
    <xf numFmtId="165" fontId="5" fillId="2" borderId="0" xfId="0" applyNumberFormat="1" applyFont="1" applyFill="1"/>
    <xf numFmtId="0" fontId="13" fillId="2" borderId="0" xfId="0" applyFont="1" applyFill="1"/>
    <xf numFmtId="0" fontId="5" fillId="2" borderId="0" xfId="0" applyFont="1" applyFill="1" applyAlignment="1">
      <alignment horizontal="center"/>
    </xf>
    <xf numFmtId="0" fontId="5" fillId="7" borderId="6" xfId="0" applyFont="1" applyFill="1" applyBorder="1" applyAlignment="1">
      <alignment horizontal="left" indent="1"/>
    </xf>
    <xf numFmtId="164" fontId="5" fillId="7" borderId="6" xfId="0" applyNumberFormat="1" applyFont="1" applyFill="1" applyBorder="1"/>
    <xf numFmtId="164" fontId="5" fillId="7" borderId="6" xfId="0" applyNumberFormat="1" applyFont="1" applyFill="1" applyBorder="1" applyAlignment="1">
      <alignment horizontal="right"/>
    </xf>
    <xf numFmtId="0" fontId="5" fillId="7" borderId="0" xfId="0" applyFont="1" applyFill="1"/>
    <xf numFmtId="164" fontId="5" fillId="7" borderId="7" xfId="0" applyNumberFormat="1" applyFont="1" applyFill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164" fontId="5" fillId="0" borderId="11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14" xfId="0" applyNumberFormat="1" applyFont="1" applyBorder="1"/>
    <xf numFmtId="0" fontId="5" fillId="2" borderId="6" xfId="0" applyFont="1" applyFill="1" applyBorder="1" applyAlignment="1">
      <alignment horizontal="left" wrapText="1" indent="1"/>
    </xf>
    <xf numFmtId="0" fontId="0" fillId="2" borderId="0" xfId="0" applyFill="1"/>
    <xf numFmtId="0" fontId="5" fillId="2" borderId="6" xfId="0" applyFont="1" applyFill="1" applyBorder="1" applyAlignment="1">
      <alignment horizontal="left" wrapText="1"/>
    </xf>
    <xf numFmtId="41" fontId="5" fillId="0" borderId="0" xfId="1" applyFont="1"/>
    <xf numFmtId="0" fontId="5" fillId="2" borderId="5" xfId="0" applyFont="1" applyFill="1" applyBorder="1" applyAlignment="1">
      <alignment horizontal="left" vertical="top" indent="1"/>
    </xf>
    <xf numFmtId="0" fontId="5" fillId="2" borderId="6" xfId="0" applyFont="1" applyFill="1" applyBorder="1" applyAlignment="1">
      <alignment horizontal="left" vertical="top" indent="1"/>
    </xf>
    <xf numFmtId="0" fontId="5" fillId="2" borderId="7" xfId="0" applyFont="1" applyFill="1" applyBorder="1" applyAlignment="1">
      <alignment horizontal="left" vertical="top" inden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horizontal="left" vertical="top" inden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212C1-9D0F-4E2D-BA3C-EF4CD348110A}">
  <sheetPr>
    <pageSetUpPr fitToPage="1"/>
  </sheetPr>
  <dimension ref="C1:X89"/>
  <sheetViews>
    <sheetView tabSelected="1" topLeftCell="A78" zoomScale="120" zoomScaleNormal="120" workbookViewId="0">
      <selection activeCell="C79" sqref="C79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77734375" style="42" bestFit="1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ht="17.399999999999999" customHeight="1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2" t="s">
        <v>6</v>
      </c>
      <c r="D19" s="19" t="s">
        <v>33</v>
      </c>
      <c r="E19" s="20"/>
      <c r="F19" s="20"/>
      <c r="G19" s="20">
        <v>600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 t="shared" ref="V19:V35" si="2">+SUM(F19:T19)</f>
        <v>600</v>
      </c>
    </row>
    <row r="20" spans="3:22" x14ac:dyDescent="0.3">
      <c r="C20" s="82"/>
      <c r="D20" s="19" t="s">
        <v>151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/>
    </row>
    <row r="21" spans="3:22" x14ac:dyDescent="0.3">
      <c r="C21" s="82"/>
      <c r="D21" s="19" t="s">
        <v>164</v>
      </c>
      <c r="E21" s="20"/>
      <c r="F21" s="20"/>
      <c r="G21" s="20"/>
      <c r="H21" s="20">
        <v>100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45"/>
      <c r="V21" s="20"/>
    </row>
    <row r="22" spans="3:22" ht="26.4" x14ac:dyDescent="0.3">
      <c r="C22" s="82"/>
      <c r="D22" s="77" t="s">
        <v>137</v>
      </c>
      <c r="E22" s="20"/>
      <c r="F22" s="20"/>
      <c r="G22" s="20"/>
      <c r="H22" s="20"/>
      <c r="I22" s="20"/>
      <c r="J22" s="20"/>
      <c r="K22" s="20">
        <f>4.59*1000</f>
        <v>4590</v>
      </c>
      <c r="L22" s="20"/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4590</v>
      </c>
    </row>
    <row r="23" spans="3:22" ht="26.4" x14ac:dyDescent="0.3">
      <c r="C23" s="82"/>
      <c r="D23" s="77" t="s">
        <v>160</v>
      </c>
      <c r="E23" s="20"/>
      <c r="F23" s="20"/>
      <c r="G23" s="20"/>
      <c r="H23" s="20"/>
      <c r="I23" s="20"/>
      <c r="J23" s="20"/>
      <c r="K23" s="20"/>
      <c r="L23" s="20">
        <f>4.59*710</f>
        <v>3258.9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3258.9</v>
      </c>
    </row>
    <row r="24" spans="3:22" ht="26.4" x14ac:dyDescent="0.3">
      <c r="C24" s="82"/>
      <c r="D24" s="77" t="s">
        <v>138</v>
      </c>
      <c r="E24" s="20"/>
      <c r="F24" s="20"/>
      <c r="G24" s="20"/>
      <c r="H24" s="20"/>
      <c r="I24" s="20"/>
      <c r="J24" s="20"/>
      <c r="K24" s="20"/>
      <c r="L24" s="20">
        <f>240*4.59</f>
        <v>1101.5999999999999</v>
      </c>
      <c r="M24" s="20"/>
      <c r="N24" s="20"/>
      <c r="O24" s="20"/>
      <c r="P24" s="20"/>
      <c r="Q24" s="20"/>
      <c r="R24" s="20"/>
      <c r="S24" s="20"/>
      <c r="T24" s="20"/>
      <c r="U24" s="45"/>
      <c r="V24" s="20">
        <f t="shared" si="2"/>
        <v>1101.5999999999999</v>
      </c>
    </row>
    <row r="25" spans="3:22" ht="26.4" x14ac:dyDescent="0.3">
      <c r="C25" s="82"/>
      <c r="D25" s="77" t="s">
        <v>139</v>
      </c>
      <c r="E25" s="20"/>
      <c r="F25" s="20"/>
      <c r="G25" s="20"/>
      <c r="H25" s="20"/>
      <c r="I25" s="20"/>
      <c r="J25" s="20"/>
      <c r="K25" s="20"/>
      <c r="L25" s="20">
        <f>330*4.59</f>
        <v>1514.7</v>
      </c>
      <c r="M25" s="20"/>
      <c r="N25" s="20"/>
      <c r="O25" s="20"/>
      <c r="P25" s="20"/>
      <c r="Q25" s="20"/>
      <c r="R25" s="20"/>
      <c r="S25" s="20"/>
      <c r="T25" s="20"/>
      <c r="U25" s="45"/>
      <c r="V25" s="20">
        <f t="shared" si="2"/>
        <v>1514.7</v>
      </c>
    </row>
    <row r="26" spans="3:22" ht="26.4" x14ac:dyDescent="0.3">
      <c r="C26" s="82"/>
      <c r="D26" s="77" t="s">
        <v>140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>
        <f>5.3*370</f>
        <v>1961</v>
      </c>
      <c r="Q26" s="20"/>
      <c r="R26" s="20"/>
      <c r="S26" s="20"/>
      <c r="T26" s="20"/>
      <c r="U26" s="45"/>
      <c r="V26" s="20">
        <f t="shared" si="2"/>
        <v>1961</v>
      </c>
    </row>
    <row r="27" spans="3:22" ht="26.4" x14ac:dyDescent="0.3">
      <c r="C27" s="82"/>
      <c r="D27" s="77" t="s">
        <v>150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>
        <f>5.3*800</f>
        <v>4240</v>
      </c>
      <c r="S27" s="20"/>
      <c r="T27" s="20"/>
      <c r="U27" s="45"/>
      <c r="V27" s="20">
        <f t="shared" si="2"/>
        <v>4240</v>
      </c>
    </row>
    <row r="28" spans="3:22" ht="26.4" x14ac:dyDescent="0.3">
      <c r="C28" s="82"/>
      <c r="D28" s="77" t="s">
        <v>141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520*4.59</f>
        <v>2386.7999999999997</v>
      </c>
      <c r="T28" s="20"/>
      <c r="U28" s="45"/>
      <c r="V28" s="20">
        <f t="shared" si="2"/>
        <v>2386.7999999999997</v>
      </c>
    </row>
    <row r="29" spans="3:22" ht="26.4" x14ac:dyDescent="0.3">
      <c r="C29" s="82"/>
      <c r="D29" s="77" t="s">
        <v>142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3.22*111</f>
        <v>357.42</v>
      </c>
      <c r="T29" s="20"/>
      <c r="U29" s="45"/>
      <c r="V29" s="20">
        <f t="shared" si="2"/>
        <v>357.42</v>
      </c>
    </row>
    <row r="30" spans="3:22" ht="26.4" x14ac:dyDescent="0.3">
      <c r="C30" s="82"/>
      <c r="D30" s="77" t="s">
        <v>143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f>3.22*124</f>
        <v>399.28000000000003</v>
      </c>
      <c r="T30" s="20"/>
      <c r="U30" s="45"/>
      <c r="V30" s="20">
        <f t="shared" si="2"/>
        <v>399.28000000000003</v>
      </c>
    </row>
    <row r="31" spans="3:22" ht="26.4" x14ac:dyDescent="0.3">
      <c r="C31" s="82"/>
      <c r="D31" s="77" t="s">
        <v>144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>
        <f>137*3.22</f>
        <v>441.14000000000004</v>
      </c>
      <c r="T31" s="20"/>
      <c r="U31" s="45"/>
      <c r="V31" s="20">
        <f t="shared" si="2"/>
        <v>441.14000000000004</v>
      </c>
    </row>
    <row r="32" spans="3:22" x14ac:dyDescent="0.3">
      <c r="C32" s="82"/>
      <c r="D32" s="19" t="s">
        <v>153</v>
      </c>
      <c r="E32" s="20"/>
      <c r="F32" s="20"/>
      <c r="G32" s="20"/>
      <c r="H32" s="20">
        <v>326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45"/>
      <c r="V32" s="20">
        <f t="shared" si="2"/>
        <v>326</v>
      </c>
    </row>
    <row r="33" spans="3:22" x14ac:dyDescent="0.3">
      <c r="C33" s="82"/>
      <c r="D33" s="19" t="s">
        <v>94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>
        <v>3000</v>
      </c>
      <c r="T33" s="20"/>
      <c r="U33" s="45"/>
      <c r="V33" s="20">
        <f t="shared" si="2"/>
        <v>3000</v>
      </c>
    </row>
    <row r="34" spans="3:22" x14ac:dyDescent="0.3">
      <c r="C34" s="82"/>
      <c r="D34" s="19" t="s">
        <v>63</v>
      </c>
      <c r="E34" s="20"/>
      <c r="F34" s="20">
        <v>5600</v>
      </c>
      <c r="G34" s="20">
        <v>5600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45"/>
      <c r="V34" s="20">
        <f t="shared" si="2"/>
        <v>11200</v>
      </c>
    </row>
    <row r="35" spans="3:22" x14ac:dyDescent="0.3">
      <c r="C35" s="82"/>
      <c r="D35" s="19" t="s">
        <v>98</v>
      </c>
      <c r="E35" s="52"/>
      <c r="F35" s="20"/>
      <c r="G35" s="20"/>
      <c r="H35" s="20">
        <v>7000</v>
      </c>
      <c r="I35" s="20">
        <f>+H35</f>
        <v>7000</v>
      </c>
      <c r="J35" s="20">
        <f t="shared" ref="J35:T35" si="3">+I35</f>
        <v>7000</v>
      </c>
      <c r="K35" s="20">
        <f t="shared" si="3"/>
        <v>7000</v>
      </c>
      <c r="L35" s="20">
        <f t="shared" si="3"/>
        <v>7000</v>
      </c>
      <c r="M35" s="20">
        <f t="shared" si="3"/>
        <v>7000</v>
      </c>
      <c r="N35" s="20">
        <f t="shared" si="3"/>
        <v>7000</v>
      </c>
      <c r="O35" s="20">
        <f t="shared" si="3"/>
        <v>7000</v>
      </c>
      <c r="P35" s="20">
        <f t="shared" si="3"/>
        <v>7000</v>
      </c>
      <c r="Q35" s="20">
        <f t="shared" si="3"/>
        <v>7000</v>
      </c>
      <c r="R35" s="20">
        <f t="shared" si="3"/>
        <v>7000</v>
      </c>
      <c r="S35" s="20">
        <f t="shared" si="3"/>
        <v>7000</v>
      </c>
      <c r="T35" s="20">
        <f t="shared" si="3"/>
        <v>7000</v>
      </c>
      <c r="U35" s="45"/>
      <c r="V35" s="20">
        <f t="shared" si="2"/>
        <v>91000</v>
      </c>
    </row>
    <row r="36" spans="3:22" x14ac:dyDescent="0.3">
      <c r="C36" s="83"/>
      <c r="D36" s="50" t="s">
        <v>18</v>
      </c>
      <c r="E36" s="51">
        <v>0</v>
      </c>
      <c r="F36" s="51">
        <f t="shared" ref="F36:T36" si="4">+SUM(F19:F35)</f>
        <v>5600</v>
      </c>
      <c r="G36" s="51">
        <f t="shared" si="4"/>
        <v>6200</v>
      </c>
      <c r="H36" s="51">
        <f t="shared" si="4"/>
        <v>7426</v>
      </c>
      <c r="I36" s="51">
        <f t="shared" si="4"/>
        <v>7000</v>
      </c>
      <c r="J36" s="51">
        <f t="shared" si="4"/>
        <v>7000</v>
      </c>
      <c r="K36" s="51">
        <f t="shared" si="4"/>
        <v>11590</v>
      </c>
      <c r="L36" s="51">
        <f t="shared" si="4"/>
        <v>12875.2</v>
      </c>
      <c r="M36" s="51">
        <f t="shared" si="4"/>
        <v>7000</v>
      </c>
      <c r="N36" s="51">
        <f t="shared" si="4"/>
        <v>7000</v>
      </c>
      <c r="O36" s="51">
        <f t="shared" si="4"/>
        <v>7000</v>
      </c>
      <c r="P36" s="51">
        <f t="shared" si="4"/>
        <v>8961</v>
      </c>
      <c r="Q36" s="51">
        <f t="shared" si="4"/>
        <v>7000</v>
      </c>
      <c r="R36" s="51">
        <f t="shared" si="4"/>
        <v>11240</v>
      </c>
      <c r="S36" s="51">
        <f t="shared" si="4"/>
        <v>13584.64</v>
      </c>
      <c r="T36" s="51">
        <f t="shared" si="4"/>
        <v>7000</v>
      </c>
      <c r="U36" s="45"/>
      <c r="V36" s="51">
        <f>+SUM(F36:T36)</f>
        <v>126476.84</v>
      </c>
    </row>
    <row r="37" spans="3:22" ht="26.4" x14ac:dyDescent="0.3">
      <c r="C37" s="81" t="s">
        <v>7</v>
      </c>
      <c r="D37" s="79" t="s">
        <v>154</v>
      </c>
      <c r="E37" s="20"/>
      <c r="F37" s="20"/>
      <c r="G37" s="20">
        <v>250</v>
      </c>
      <c r="H37" s="20">
        <f>+G37</f>
        <v>250</v>
      </c>
      <c r="I37" s="20">
        <f t="shared" ref="I37:T37" si="5">+H37</f>
        <v>250</v>
      </c>
      <c r="J37" s="20">
        <f t="shared" si="5"/>
        <v>250</v>
      </c>
      <c r="K37" s="20">
        <f t="shared" si="5"/>
        <v>250</v>
      </c>
      <c r="L37" s="20">
        <f t="shared" si="5"/>
        <v>250</v>
      </c>
      <c r="M37" s="20">
        <f t="shared" si="5"/>
        <v>250</v>
      </c>
      <c r="N37" s="20">
        <f t="shared" si="5"/>
        <v>250</v>
      </c>
      <c r="O37" s="20">
        <f t="shared" si="5"/>
        <v>250</v>
      </c>
      <c r="P37" s="20">
        <f t="shared" si="5"/>
        <v>250</v>
      </c>
      <c r="Q37" s="20">
        <f t="shared" si="5"/>
        <v>250</v>
      </c>
      <c r="R37" s="20">
        <f t="shared" si="5"/>
        <v>250</v>
      </c>
      <c r="S37" s="20">
        <f t="shared" si="5"/>
        <v>250</v>
      </c>
      <c r="T37" s="20">
        <f t="shared" si="5"/>
        <v>250</v>
      </c>
      <c r="U37" s="45"/>
      <c r="V37" s="20">
        <f>+SUM(F37:T37)</f>
        <v>3500</v>
      </c>
    </row>
    <row r="38" spans="3:22" x14ac:dyDescent="0.3">
      <c r="C38" s="82"/>
      <c r="D38" s="19" t="s">
        <v>149</v>
      </c>
      <c r="E38" s="20"/>
      <c r="F38" s="20">
        <v>330</v>
      </c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45"/>
      <c r="V38" s="20">
        <f t="shared" ref="V38:V62" si="6">+SUM(F38:T38)</f>
        <v>330</v>
      </c>
    </row>
    <row r="39" spans="3:22" x14ac:dyDescent="0.3">
      <c r="C39" s="82"/>
      <c r="D39" s="19" t="s">
        <v>31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>
        <v>758.25095326069072</v>
      </c>
      <c r="P39" s="20"/>
      <c r="Q39" s="20"/>
      <c r="R39" s="20"/>
      <c r="S39" s="20"/>
      <c r="T39" s="20"/>
      <c r="U39" s="45"/>
      <c r="V39" s="20">
        <f t="shared" si="6"/>
        <v>758.25095326069072</v>
      </c>
    </row>
    <row r="40" spans="3:22" x14ac:dyDescent="0.3">
      <c r="C40" s="82"/>
      <c r="D40" s="19" t="s">
        <v>32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>
        <v>905.14024400002631</v>
      </c>
      <c r="Q40" s="20"/>
      <c r="R40" s="20"/>
      <c r="S40" s="20"/>
      <c r="T40" s="20"/>
      <c r="U40" s="45"/>
      <c r="V40" s="20">
        <f t="shared" si="6"/>
        <v>905.14024400002631</v>
      </c>
    </row>
    <row r="41" spans="3:22" x14ac:dyDescent="0.3">
      <c r="C41" s="82"/>
      <c r="D41" s="19" t="s">
        <v>41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1370.1</v>
      </c>
      <c r="R41" s="20"/>
      <c r="S41" s="20"/>
      <c r="T41" s="20"/>
      <c r="U41" s="45"/>
      <c r="V41" s="20">
        <f t="shared" si="6"/>
        <v>1370.1</v>
      </c>
    </row>
    <row r="42" spans="3:22" x14ac:dyDescent="0.3">
      <c r="C42" s="82"/>
      <c r="D42" s="19" t="s">
        <v>42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1250</v>
      </c>
      <c r="R42" s="20"/>
      <c r="S42" s="20"/>
      <c r="T42" s="20"/>
      <c r="U42" s="45"/>
      <c r="V42" s="20">
        <f t="shared" si="6"/>
        <v>1250</v>
      </c>
    </row>
    <row r="43" spans="3:22" x14ac:dyDescent="0.3">
      <c r="C43" s="82"/>
      <c r="D43" s="19" t="s">
        <v>43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>
        <v>900</v>
      </c>
      <c r="R43" s="20"/>
      <c r="S43" s="20"/>
      <c r="T43" s="20"/>
      <c r="U43" s="45"/>
      <c r="V43" s="20">
        <f t="shared" si="6"/>
        <v>900</v>
      </c>
    </row>
    <row r="44" spans="3:22" x14ac:dyDescent="0.3">
      <c r="C44" s="82"/>
      <c r="D44" s="19" t="s">
        <v>126</v>
      </c>
      <c r="E44" s="20"/>
      <c r="F44" s="20"/>
      <c r="G44" s="20"/>
      <c r="H44" s="20">
        <v>3000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45"/>
      <c r="V44" s="20">
        <f t="shared" si="6"/>
        <v>3000</v>
      </c>
    </row>
    <row r="45" spans="3:22" x14ac:dyDescent="0.3">
      <c r="C45" s="82"/>
      <c r="D45" s="19" t="s">
        <v>152</v>
      </c>
      <c r="E45" s="20"/>
      <c r="F45" s="20"/>
      <c r="G45" s="20"/>
      <c r="H45" s="20">
        <f>100000000/36800/1.5</f>
        <v>1811.5942028985507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45"/>
      <c r="V45" s="20">
        <f t="shared" si="6"/>
        <v>1811.5942028985507</v>
      </c>
    </row>
    <row r="46" spans="3:22" ht="26.4" x14ac:dyDescent="0.3">
      <c r="C46" s="82"/>
      <c r="D46" s="77" t="s">
        <v>127</v>
      </c>
      <c r="E46" s="20" t="s">
        <v>22</v>
      </c>
      <c r="F46" s="20"/>
      <c r="G46" s="20"/>
      <c r="H46" s="20"/>
      <c r="I46" s="20"/>
      <c r="J46" s="20"/>
      <c r="K46" s="20"/>
      <c r="L46" s="20"/>
      <c r="M46" s="20"/>
      <c r="N46" s="20">
        <v>777.55382891905617</v>
      </c>
      <c r="O46" s="20"/>
      <c r="P46" s="20"/>
      <c r="Q46" s="20"/>
      <c r="R46" s="20"/>
      <c r="S46" s="20"/>
      <c r="T46" s="20"/>
      <c r="U46" s="45"/>
      <c r="V46" s="20">
        <f t="shared" si="6"/>
        <v>777.55382891905617</v>
      </c>
    </row>
    <row r="47" spans="3:22" ht="26.4" x14ac:dyDescent="0.3">
      <c r="C47" s="82"/>
      <c r="D47" s="77" t="s">
        <v>128</v>
      </c>
      <c r="E47" s="20" t="s">
        <v>22</v>
      </c>
      <c r="F47" s="20"/>
      <c r="G47" s="20"/>
      <c r="H47" s="20"/>
      <c r="I47" s="20"/>
      <c r="J47" s="20"/>
      <c r="K47" s="20"/>
      <c r="L47" s="20"/>
      <c r="M47" s="20"/>
      <c r="N47" s="20">
        <v>1937.4717074651894</v>
      </c>
      <c r="O47" s="20"/>
      <c r="P47" s="20"/>
      <c r="Q47" s="20"/>
      <c r="R47" s="20"/>
      <c r="S47" s="20"/>
      <c r="T47" s="20"/>
      <c r="U47" s="45"/>
      <c r="V47" s="20">
        <f t="shared" si="6"/>
        <v>1937.4717074651894</v>
      </c>
    </row>
    <row r="48" spans="3:22" ht="26.4" x14ac:dyDescent="0.3">
      <c r="C48" s="82"/>
      <c r="D48" s="77" t="s">
        <v>129</v>
      </c>
      <c r="E48" s="20"/>
      <c r="F48" s="20"/>
      <c r="G48" s="20"/>
      <c r="H48" s="20"/>
      <c r="I48" s="20"/>
      <c r="J48" s="20"/>
      <c r="K48" s="20"/>
      <c r="L48" s="20"/>
      <c r="M48" s="20"/>
      <c r="N48" s="20">
        <v>1179.47778879509</v>
      </c>
      <c r="O48" s="20"/>
      <c r="P48" s="20"/>
      <c r="Q48" s="20"/>
      <c r="R48" s="20"/>
      <c r="S48" s="20"/>
      <c r="T48" s="20"/>
      <c r="U48" s="45"/>
      <c r="V48" s="20">
        <f t="shared" si="6"/>
        <v>1179.47778879509</v>
      </c>
    </row>
    <row r="49" spans="3:23" ht="26.4" x14ac:dyDescent="0.3">
      <c r="C49" s="82"/>
      <c r="D49" s="77" t="s">
        <v>130</v>
      </c>
      <c r="E49" s="20" t="s">
        <v>22</v>
      </c>
      <c r="F49" s="20"/>
      <c r="G49" s="20"/>
      <c r="H49" s="20"/>
      <c r="I49" s="20"/>
      <c r="J49" s="20"/>
      <c r="K49" s="20">
        <v>1284.7947392070291</v>
      </c>
      <c r="L49" s="20"/>
      <c r="M49" s="20"/>
      <c r="N49" s="20"/>
      <c r="O49" s="20"/>
      <c r="P49" s="20"/>
      <c r="Q49" s="20"/>
      <c r="R49" s="20"/>
      <c r="S49" s="20"/>
      <c r="T49" s="20"/>
      <c r="U49" s="45"/>
      <c r="V49" s="20">
        <f t="shared" si="6"/>
        <v>1284.7947392070291</v>
      </c>
    </row>
    <row r="50" spans="3:23" ht="26.4" x14ac:dyDescent="0.3">
      <c r="C50" s="82"/>
      <c r="D50" s="77" t="s">
        <v>131</v>
      </c>
      <c r="E50" s="20" t="s">
        <v>21</v>
      </c>
      <c r="F50" s="20"/>
      <c r="G50" s="20"/>
      <c r="H50" s="20"/>
      <c r="I50" s="20"/>
      <c r="J50" s="20"/>
      <c r="K50" s="20"/>
      <c r="L50" s="20"/>
      <c r="M50" s="20"/>
      <c r="N50" s="20">
        <v>1590.7278236895932</v>
      </c>
      <c r="O50" s="20"/>
      <c r="P50" s="20"/>
      <c r="Q50" s="20"/>
      <c r="R50" s="20"/>
      <c r="S50" s="20"/>
      <c r="T50" s="20"/>
      <c r="U50" s="45"/>
      <c r="V50" s="20">
        <f t="shared" si="6"/>
        <v>1590.7278236895932</v>
      </c>
    </row>
    <row r="51" spans="3:23" ht="26.4" x14ac:dyDescent="0.3">
      <c r="C51" s="82"/>
      <c r="D51" s="77" t="s">
        <v>132</v>
      </c>
      <c r="E51" s="20" t="s">
        <v>22</v>
      </c>
      <c r="F51" s="20"/>
      <c r="G51" s="20"/>
      <c r="H51" s="20"/>
      <c r="I51" s="20">
        <v>341.29347680492879</v>
      </c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341.29347680492879</v>
      </c>
    </row>
    <row r="52" spans="3:23" x14ac:dyDescent="0.3">
      <c r="C52" s="82"/>
      <c r="D52" s="19" t="s">
        <v>57</v>
      </c>
      <c r="E52" s="20"/>
      <c r="F52" s="20"/>
      <c r="G52" s="20"/>
      <c r="H52" s="20">
        <v>100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45"/>
      <c r="V52" s="20">
        <f t="shared" si="6"/>
        <v>100</v>
      </c>
    </row>
    <row r="53" spans="3:23" ht="26.4" x14ac:dyDescent="0.3">
      <c r="C53" s="82"/>
      <c r="D53" s="77" t="s">
        <v>133</v>
      </c>
      <c r="E53" s="20"/>
      <c r="F53" s="20"/>
      <c r="G53" s="20"/>
      <c r="H53" s="20"/>
      <c r="I53" s="20"/>
      <c r="J53" s="20">
        <f>6.16*712</f>
        <v>4385.92</v>
      </c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45"/>
      <c r="V53" s="20">
        <f t="shared" si="6"/>
        <v>4385.92</v>
      </c>
    </row>
    <row r="54" spans="3:23" x14ac:dyDescent="0.3">
      <c r="C54" s="82"/>
      <c r="D54" s="19" t="s">
        <v>67</v>
      </c>
      <c r="E54" s="20"/>
      <c r="F54" s="20"/>
      <c r="G54" s="20"/>
      <c r="H54" s="20"/>
      <c r="I54" s="20">
        <v>1087</v>
      </c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45"/>
      <c r="V54" s="20">
        <f t="shared" si="6"/>
        <v>1087</v>
      </c>
    </row>
    <row r="55" spans="3:23" x14ac:dyDescent="0.3">
      <c r="C55" s="82"/>
      <c r="D55" s="53" t="s">
        <v>161</v>
      </c>
      <c r="E55" s="39"/>
      <c r="F55" s="39"/>
      <c r="G55" s="39"/>
      <c r="H55" s="39"/>
      <c r="I55" s="39">
        <v>200</v>
      </c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V55" s="39">
        <f t="shared" si="6"/>
        <v>200</v>
      </c>
      <c r="W55" s="33"/>
    </row>
    <row r="56" spans="3:23" x14ac:dyDescent="0.3">
      <c r="C56" s="82"/>
      <c r="D56" s="19" t="s">
        <v>155</v>
      </c>
      <c r="E56" s="20"/>
      <c r="F56" s="20"/>
      <c r="G56" s="20"/>
      <c r="H56" s="20"/>
      <c r="I56" s="20">
        <v>408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408</v>
      </c>
    </row>
    <row r="57" spans="3:23" x14ac:dyDescent="0.3">
      <c r="C57" s="82"/>
      <c r="D57" s="19" t="s">
        <v>156</v>
      </c>
      <c r="E57" s="20"/>
      <c r="F57" s="20"/>
      <c r="G57" s="20"/>
      <c r="H57" s="20"/>
      <c r="I57" s="20">
        <v>226</v>
      </c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226</v>
      </c>
    </row>
    <row r="58" spans="3:23" ht="13.95" customHeight="1" x14ac:dyDescent="0.3">
      <c r="C58" s="82"/>
      <c r="D58" s="19" t="s">
        <v>157</v>
      </c>
      <c r="E58" s="20"/>
      <c r="F58" s="20"/>
      <c r="G58" s="20"/>
      <c r="H58" s="20">
        <v>489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489</v>
      </c>
    </row>
    <row r="59" spans="3:23" x14ac:dyDescent="0.3">
      <c r="C59" s="82"/>
      <c r="D59" s="19" t="s">
        <v>158</v>
      </c>
      <c r="E59" s="20"/>
      <c r="F59" s="20"/>
      <c r="G59" s="20"/>
      <c r="H59" s="20">
        <v>226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226</v>
      </c>
    </row>
    <row r="60" spans="3:23" x14ac:dyDescent="0.3">
      <c r="C60" s="82"/>
      <c r="D60" s="19" t="s">
        <v>159</v>
      </c>
      <c r="E60" s="20"/>
      <c r="F60" s="20"/>
      <c r="G60" s="20"/>
      <c r="H60" s="20">
        <v>226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45"/>
      <c r="V60" s="20">
        <f t="shared" si="6"/>
        <v>226</v>
      </c>
    </row>
    <row r="61" spans="3:23" x14ac:dyDescent="0.3">
      <c r="C61" s="82"/>
      <c r="D61" s="19" t="s">
        <v>25</v>
      </c>
      <c r="E61" s="20"/>
      <c r="F61" s="20">
        <v>3500</v>
      </c>
      <c r="G61" s="20">
        <v>3500</v>
      </c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45"/>
      <c r="V61" s="20">
        <f t="shared" si="6"/>
        <v>7000</v>
      </c>
    </row>
    <row r="62" spans="3:23" x14ac:dyDescent="0.3">
      <c r="C62" s="82"/>
      <c r="D62" s="19" t="s">
        <v>147</v>
      </c>
      <c r="E62" s="52"/>
      <c r="F62" s="20"/>
      <c r="G62" s="20"/>
      <c r="H62" s="20">
        <v>5250</v>
      </c>
      <c r="I62" s="20">
        <f>+H62</f>
        <v>5250</v>
      </c>
      <c r="J62" s="20">
        <f t="shared" ref="J62:T62" si="7">+I62</f>
        <v>5250</v>
      </c>
      <c r="K62" s="20">
        <f t="shared" si="7"/>
        <v>5250</v>
      </c>
      <c r="L62" s="20">
        <f t="shared" si="7"/>
        <v>5250</v>
      </c>
      <c r="M62" s="20">
        <f t="shared" si="7"/>
        <v>5250</v>
      </c>
      <c r="N62" s="20">
        <f t="shared" si="7"/>
        <v>5250</v>
      </c>
      <c r="O62" s="20">
        <f t="shared" si="7"/>
        <v>5250</v>
      </c>
      <c r="P62" s="20">
        <f t="shared" si="7"/>
        <v>5250</v>
      </c>
      <c r="Q62" s="20">
        <f t="shared" si="7"/>
        <v>5250</v>
      </c>
      <c r="R62" s="20">
        <f t="shared" si="7"/>
        <v>5250</v>
      </c>
      <c r="S62" s="20">
        <f t="shared" si="7"/>
        <v>5250</v>
      </c>
      <c r="T62" s="20">
        <f t="shared" si="7"/>
        <v>5250</v>
      </c>
      <c r="U62" s="45"/>
      <c r="V62" s="20">
        <f t="shared" si="6"/>
        <v>68250</v>
      </c>
    </row>
    <row r="63" spans="3:23" x14ac:dyDescent="0.3">
      <c r="C63" s="83"/>
      <c r="D63" s="50" t="s">
        <v>19</v>
      </c>
      <c r="E63" s="51">
        <v>0</v>
      </c>
      <c r="F63" s="51">
        <f t="shared" ref="F63:T63" si="8">+SUM(F37:F62)</f>
        <v>3830</v>
      </c>
      <c r="G63" s="51">
        <f t="shared" si="8"/>
        <v>3750</v>
      </c>
      <c r="H63" s="51">
        <f t="shared" si="8"/>
        <v>11352.594202898552</v>
      </c>
      <c r="I63" s="51">
        <f t="shared" si="8"/>
        <v>7762.293476804929</v>
      </c>
      <c r="J63" s="51">
        <f t="shared" si="8"/>
        <v>9885.92</v>
      </c>
      <c r="K63" s="51">
        <f t="shared" si="8"/>
        <v>6784.7947392070291</v>
      </c>
      <c r="L63" s="51">
        <f t="shared" si="8"/>
        <v>5500</v>
      </c>
      <c r="M63" s="51">
        <f t="shared" si="8"/>
        <v>5500</v>
      </c>
      <c r="N63" s="51">
        <f t="shared" si="8"/>
        <v>10985.231148868928</v>
      </c>
      <c r="O63" s="51">
        <f t="shared" si="8"/>
        <v>6258.2509532606909</v>
      </c>
      <c r="P63" s="51">
        <f t="shared" si="8"/>
        <v>6405.1402440000265</v>
      </c>
      <c r="Q63" s="51">
        <f t="shared" si="8"/>
        <v>9020.1</v>
      </c>
      <c r="R63" s="51">
        <f t="shared" si="8"/>
        <v>5500</v>
      </c>
      <c r="S63" s="51">
        <f t="shared" si="8"/>
        <v>5500</v>
      </c>
      <c r="T63" s="51">
        <f t="shared" si="8"/>
        <v>5500</v>
      </c>
      <c r="U63" s="45"/>
      <c r="V63" s="51">
        <f>+SUM(F63:T63)</f>
        <v>103534.32476504016</v>
      </c>
    </row>
    <row r="64" spans="3:23" x14ac:dyDescent="0.3">
      <c r="C64" s="81" t="s">
        <v>8</v>
      </c>
      <c r="D64" s="19" t="s">
        <v>58</v>
      </c>
      <c r="E64" s="20"/>
      <c r="F64" s="20"/>
      <c r="G64" s="20"/>
      <c r="H64" s="20">
        <f>61195.9668057236/110*160</f>
        <v>89012.315353779777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45"/>
      <c r="V64" s="20">
        <f>+SUM(F64:T64)</f>
        <v>89012.315353779777</v>
      </c>
    </row>
    <row r="65" spans="3:24" x14ac:dyDescent="0.3">
      <c r="C65" s="82"/>
      <c r="D65" s="19" t="s">
        <v>9</v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>
        <v>350</v>
      </c>
      <c r="R65" s="20"/>
      <c r="S65" s="20"/>
      <c r="T65" s="20"/>
      <c r="U65" s="45"/>
      <c r="V65" s="20">
        <f>+SUM(F65:T65)</f>
        <v>350</v>
      </c>
    </row>
    <row r="66" spans="3:24" x14ac:dyDescent="0.3">
      <c r="C66" s="83"/>
      <c r="D66" s="50" t="s">
        <v>20</v>
      </c>
      <c r="E66" s="51">
        <v>0</v>
      </c>
      <c r="F66" s="51">
        <f t="shared" ref="F66:V66" si="9">+SUM(F64:F65)</f>
        <v>0</v>
      </c>
      <c r="G66" s="51">
        <f t="shared" si="9"/>
        <v>0</v>
      </c>
      <c r="H66" s="51">
        <f t="shared" si="9"/>
        <v>89012.315353779777</v>
      </c>
      <c r="I66" s="51">
        <f t="shared" si="9"/>
        <v>0</v>
      </c>
      <c r="J66" s="51">
        <f t="shared" si="9"/>
        <v>0</v>
      </c>
      <c r="K66" s="51">
        <f t="shared" si="9"/>
        <v>0</v>
      </c>
      <c r="L66" s="51">
        <f t="shared" si="9"/>
        <v>0</v>
      </c>
      <c r="M66" s="51">
        <f t="shared" si="9"/>
        <v>0</v>
      </c>
      <c r="N66" s="51">
        <f t="shared" si="9"/>
        <v>0</v>
      </c>
      <c r="O66" s="51">
        <f t="shared" si="9"/>
        <v>0</v>
      </c>
      <c r="P66" s="51">
        <f t="shared" si="9"/>
        <v>0</v>
      </c>
      <c r="Q66" s="51">
        <f t="shared" si="9"/>
        <v>350</v>
      </c>
      <c r="R66" s="51">
        <f t="shared" si="9"/>
        <v>0</v>
      </c>
      <c r="S66" s="51">
        <f t="shared" si="9"/>
        <v>0</v>
      </c>
      <c r="T66" s="51">
        <f t="shared" si="9"/>
        <v>0</v>
      </c>
      <c r="U66" s="51">
        <f t="shared" si="9"/>
        <v>0</v>
      </c>
      <c r="V66" s="51">
        <f t="shared" si="9"/>
        <v>89362.315353779777</v>
      </c>
    </row>
    <row r="67" spans="3:24" x14ac:dyDescent="0.3">
      <c r="C67" s="48"/>
      <c r="D67" s="53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45"/>
      <c r="V67" s="39"/>
    </row>
    <row r="68" spans="3:24" x14ac:dyDescent="0.3">
      <c r="C68" s="54"/>
      <c r="D68" s="54" t="s">
        <v>10</v>
      </c>
      <c r="E68" s="55">
        <v>0</v>
      </c>
      <c r="F68" s="55">
        <f t="shared" ref="F68:T68" si="10">+F66+F63+F36+F18</f>
        <v>9430</v>
      </c>
      <c r="G68" s="55">
        <f t="shared" si="10"/>
        <v>11127</v>
      </c>
      <c r="H68" s="55">
        <f t="shared" si="10"/>
        <v>107790.90955667832</v>
      </c>
      <c r="I68" s="55">
        <f t="shared" si="10"/>
        <v>14762.293476804929</v>
      </c>
      <c r="J68" s="55">
        <f t="shared" si="10"/>
        <v>16885.919999999998</v>
      </c>
      <c r="K68" s="55">
        <f t="shared" si="10"/>
        <v>18374.794739207027</v>
      </c>
      <c r="L68" s="55">
        <f t="shared" si="10"/>
        <v>18375.2</v>
      </c>
      <c r="M68" s="55">
        <f t="shared" si="10"/>
        <v>19786.523883052643</v>
      </c>
      <c r="N68" s="55">
        <f t="shared" si="10"/>
        <v>34344.330487499668</v>
      </c>
      <c r="O68" s="55">
        <f t="shared" si="10"/>
        <v>13258.250953260691</v>
      </c>
      <c r="P68" s="55">
        <f t="shared" si="10"/>
        <v>15366.140244000027</v>
      </c>
      <c r="Q68" s="55">
        <f t="shared" si="10"/>
        <v>16370.1</v>
      </c>
      <c r="R68" s="55">
        <f t="shared" si="10"/>
        <v>16740</v>
      </c>
      <c r="S68" s="55">
        <f t="shared" si="10"/>
        <v>19084.64</v>
      </c>
      <c r="T68" s="55">
        <f t="shared" si="10"/>
        <v>12500</v>
      </c>
      <c r="U68" s="45"/>
      <c r="V68" s="55">
        <f>+V66+V63+V36+V18</f>
        <v>344196.10334050335</v>
      </c>
      <c r="W68" s="56"/>
      <c r="X68" s="56"/>
    </row>
    <row r="69" spans="3:24" x14ac:dyDescent="0.3"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56"/>
      <c r="X69" s="80"/>
    </row>
    <row r="70" spans="3:24" x14ac:dyDescent="0.3">
      <c r="C70" s="61" t="s">
        <v>37</v>
      </c>
      <c r="D70" s="62" t="s">
        <v>113</v>
      </c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</row>
    <row r="71" spans="3:24" x14ac:dyDescent="0.3">
      <c r="C71" s="45"/>
      <c r="D71" s="62" t="s">
        <v>145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</row>
    <row r="72" spans="3:24" x14ac:dyDescent="0.3">
      <c r="C72" s="45"/>
      <c r="D72" s="62" t="s">
        <v>146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</row>
    <row r="73" spans="3:24" x14ac:dyDescent="0.3">
      <c r="C73" s="45"/>
      <c r="D73" s="62" t="s">
        <v>148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4" x14ac:dyDescent="0.3">
      <c r="C74" s="45"/>
      <c r="D74" s="62" t="s">
        <v>162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3:24" ht="14.4" x14ac:dyDescent="0.3">
      <c r="C75" s="45"/>
      <c r="D75" s="45"/>
      <c r="E75" s="45"/>
      <c r="F75" s="45"/>
      <c r="G75" s="45"/>
      <c r="H75" s="45"/>
      <c r="I75" s="45"/>
      <c r="J75" s="45"/>
      <c r="K75" s="78"/>
      <c r="L75" s="78"/>
      <c r="M75" s="78"/>
      <c r="N75" s="78"/>
      <c r="O75" s="78"/>
      <c r="P75" s="78"/>
      <c r="Q75" s="45"/>
      <c r="R75" s="45"/>
      <c r="S75" s="45"/>
      <c r="T75" s="45"/>
      <c r="U75" s="45"/>
      <c r="V75" s="45"/>
    </row>
    <row r="76" spans="3:24" ht="14.4" x14ac:dyDescent="0.3">
      <c r="C76" s="45"/>
      <c r="D76" s="45"/>
      <c r="E76" s="45"/>
      <c r="F76" s="45"/>
      <c r="G76" s="45"/>
      <c r="H76" s="45"/>
      <c r="I76" s="45"/>
      <c r="J76" s="45"/>
      <c r="K76" s="78"/>
      <c r="L76" s="78"/>
      <c r="M76" s="78"/>
      <c r="N76" s="78"/>
      <c r="O76" s="78"/>
      <c r="P76" s="78"/>
      <c r="Q76" s="45"/>
      <c r="R76" s="45"/>
      <c r="S76" s="45"/>
      <c r="T76" s="45"/>
      <c r="U76" s="45"/>
      <c r="V76" s="45"/>
    </row>
    <row r="77" spans="3:24" ht="14.4" x14ac:dyDescent="0.3">
      <c r="C77" s="45"/>
      <c r="D77" s="45"/>
      <c r="E77" s="45"/>
      <c r="F77" s="45"/>
      <c r="G77" s="45"/>
      <c r="H77" s="45"/>
      <c r="I77" s="45"/>
      <c r="J77" s="45"/>
      <c r="K77" s="78"/>
      <c r="L77" s="78"/>
      <c r="M77" s="78"/>
      <c r="N77" s="78"/>
      <c r="O77" s="78"/>
      <c r="P77" s="78"/>
      <c r="Q77" s="45"/>
      <c r="R77" s="45"/>
      <c r="S77" s="45"/>
      <c r="T77" s="45"/>
      <c r="U77" s="45"/>
      <c r="V77" s="45"/>
    </row>
    <row r="78" spans="3:24" ht="14.4" x14ac:dyDescent="0.3">
      <c r="C78" s="45" t="s">
        <v>165</v>
      </c>
      <c r="D78" s="45"/>
      <c r="E78" s="45"/>
      <c r="F78" s="45"/>
      <c r="G78" s="45"/>
      <c r="H78" s="45"/>
      <c r="I78" s="45"/>
      <c r="J78" s="45"/>
      <c r="K78" s="78"/>
      <c r="L78" s="78"/>
      <c r="M78" s="78"/>
      <c r="N78" s="78"/>
      <c r="O78" s="78"/>
      <c r="P78" s="78"/>
      <c r="Q78" s="45"/>
      <c r="R78" s="45"/>
      <c r="S78" s="45"/>
      <c r="T78" s="45"/>
      <c r="U78" s="45"/>
      <c r="V78" s="45"/>
    </row>
    <row r="80" spans="3:24" x14ac:dyDescent="0.3">
      <c r="J80" s="56"/>
    </row>
    <row r="82" spans="6:13" x14ac:dyDescent="0.3">
      <c r="F82" s="56">
        <f>+F68</f>
        <v>9430</v>
      </c>
      <c r="G82" s="56">
        <f>+G68</f>
        <v>11127</v>
      </c>
      <c r="H82" s="56">
        <f>+H68</f>
        <v>107790.90955667832</v>
      </c>
      <c r="I82" s="56">
        <f>+I68</f>
        <v>14762.293476804929</v>
      </c>
      <c r="J82" s="56">
        <f>+J68</f>
        <v>16885.919999999998</v>
      </c>
      <c r="K82" s="56"/>
      <c r="L82" s="56"/>
      <c r="M82" s="56"/>
    </row>
    <row r="83" spans="6:13" x14ac:dyDescent="0.3">
      <c r="F83" s="56">
        <f>+F34+F35</f>
        <v>5600</v>
      </c>
      <c r="G83" s="56">
        <f>+G34+G35</f>
        <v>5600</v>
      </c>
      <c r="H83" s="56">
        <f>+H34+H35</f>
        <v>7000</v>
      </c>
      <c r="I83" s="56">
        <f>+I34+I35</f>
        <v>7000</v>
      </c>
      <c r="J83" s="56">
        <f>+J34+J35</f>
        <v>7000</v>
      </c>
      <c r="K83" s="56"/>
      <c r="L83" s="56"/>
      <c r="M83" s="56"/>
    </row>
    <row r="84" spans="6:13" ht="13.8" thickBot="1" x14ac:dyDescent="0.35">
      <c r="F84" s="56">
        <f>+F61+F62</f>
        <v>3500</v>
      </c>
      <c r="G84" s="56">
        <f>+G61+G62</f>
        <v>3500</v>
      </c>
      <c r="H84" s="56">
        <f>+H61+H62</f>
        <v>5250</v>
      </c>
      <c r="I84" s="56">
        <f>+I61+I62</f>
        <v>5250</v>
      </c>
      <c r="J84" s="56">
        <f>+J61+J62</f>
        <v>5250</v>
      </c>
      <c r="K84" s="56"/>
      <c r="L84" s="56"/>
      <c r="M84" s="56"/>
    </row>
    <row r="85" spans="6:13" x14ac:dyDescent="0.3">
      <c r="F85" s="71">
        <f>+F83+F84</f>
        <v>9100</v>
      </c>
      <c r="G85" s="72">
        <f t="shared" ref="G85:J85" si="11">+G83+G84</f>
        <v>9100</v>
      </c>
      <c r="H85" s="72">
        <f t="shared" si="11"/>
        <v>12250</v>
      </c>
      <c r="I85" s="72">
        <f t="shared" si="11"/>
        <v>12250</v>
      </c>
      <c r="J85" s="73">
        <f t="shared" si="11"/>
        <v>12250</v>
      </c>
      <c r="K85" s="56" t="s">
        <v>124</v>
      </c>
      <c r="L85" s="56"/>
      <c r="M85" s="56"/>
    </row>
    <row r="86" spans="6:13" ht="13.8" thickBot="1" x14ac:dyDescent="0.35">
      <c r="F86" s="74">
        <f>+F82-F85</f>
        <v>330</v>
      </c>
      <c r="G86" s="75">
        <f t="shared" ref="G86:J86" si="12">+G82-G85</f>
        <v>2027</v>
      </c>
      <c r="H86" s="75">
        <f t="shared" si="12"/>
        <v>95540.909556678322</v>
      </c>
      <c r="I86" s="75">
        <f t="shared" si="12"/>
        <v>2512.293476804929</v>
      </c>
      <c r="J86" s="76">
        <f t="shared" si="12"/>
        <v>4635.9199999999983</v>
      </c>
      <c r="K86" s="56" t="s">
        <v>125</v>
      </c>
      <c r="L86" s="56"/>
      <c r="M86" s="56"/>
    </row>
    <row r="88" spans="6:13" x14ac:dyDescent="0.3">
      <c r="F88" s="42">
        <v>50898</v>
      </c>
      <c r="G88" s="42">
        <v>51679</v>
      </c>
      <c r="H88" s="42">
        <v>52459</v>
      </c>
      <c r="I88" s="42">
        <v>53238</v>
      </c>
      <c r="J88" s="42">
        <v>54017</v>
      </c>
    </row>
    <row r="89" spans="6:13" x14ac:dyDescent="0.3">
      <c r="F89" s="57">
        <f>+F68/F88</f>
        <v>0.18527250579590554</v>
      </c>
      <c r="G89" s="57">
        <f>+G68/G88</f>
        <v>0.21530989376729426</v>
      </c>
      <c r="H89" s="57">
        <f>+H68/H88</f>
        <v>2.0547648555381977</v>
      </c>
      <c r="I89" s="57">
        <f>+I68/I88</f>
        <v>0.27728865616298376</v>
      </c>
      <c r="J89" s="57">
        <f>+J68/J88</f>
        <v>0.31260380991169445</v>
      </c>
    </row>
  </sheetData>
  <mergeCells count="8">
    <mergeCell ref="C37:C63"/>
    <mergeCell ref="C64:C66"/>
    <mergeCell ref="C8:C9"/>
    <mergeCell ref="D8:D9"/>
    <mergeCell ref="E8:T8"/>
    <mergeCell ref="V8:V9"/>
    <mergeCell ref="C10:C18"/>
    <mergeCell ref="C19:C36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W40"/>
  <sheetViews>
    <sheetView topLeftCell="B20" zoomScaleNormal="100" workbookViewId="0">
      <selection activeCell="W36" sqref="W36"/>
    </sheetView>
  </sheetViews>
  <sheetFormatPr baseColWidth="10" defaultColWidth="10.88671875" defaultRowHeight="13.2" x14ac:dyDescent="0.3"/>
  <cols>
    <col min="1" max="1" width="10.88671875" style="1"/>
    <col min="2" max="2" width="7.6640625" style="1" customWidth="1"/>
    <col min="3" max="3" width="11.33203125" style="1" customWidth="1"/>
    <col min="4" max="4" width="43.5546875" style="1" customWidth="1"/>
    <col min="5" max="5" width="5.88671875" style="1" hidden="1" customWidth="1"/>
    <col min="6" max="11" width="6" style="1" bestFit="1" customWidth="1"/>
    <col min="12" max="12" width="5.33203125" style="1" bestFit="1" customWidth="1"/>
    <col min="13" max="18" width="6" style="1" bestFit="1" customWidth="1"/>
    <col min="19" max="20" width="5.44140625" style="1" customWidth="1"/>
    <col min="21" max="21" width="3.33203125" style="1" customWidth="1"/>
    <col min="22" max="22" width="8.109375" style="1" customWidth="1"/>
    <col min="23" max="16384" width="10.88671875" style="1"/>
  </cols>
  <sheetData>
    <row r="3" spans="3:22" x14ac:dyDescent="0.3">
      <c r="H3" s="1" t="s">
        <v>40</v>
      </c>
    </row>
    <row r="6" spans="3:22" ht="14.4" x14ac:dyDescent="0.3">
      <c r="C6" s="2" t="s">
        <v>0</v>
      </c>
    </row>
    <row r="7" spans="3:22" x14ac:dyDescent="0.3">
      <c r="F7" s="25">
        <v>1</v>
      </c>
      <c r="G7" s="25">
        <v>2</v>
      </c>
      <c r="H7" s="25">
        <v>3</v>
      </c>
      <c r="I7" s="25">
        <v>4</v>
      </c>
      <c r="J7" s="25">
        <v>5</v>
      </c>
      <c r="K7" s="25">
        <v>6</v>
      </c>
      <c r="L7" s="25">
        <v>7</v>
      </c>
      <c r="M7" s="25">
        <v>8</v>
      </c>
      <c r="N7" s="25">
        <v>9</v>
      </c>
      <c r="O7" s="25">
        <v>10</v>
      </c>
      <c r="P7" s="25">
        <v>11</v>
      </c>
      <c r="Q7" s="25">
        <v>12</v>
      </c>
      <c r="R7" s="25">
        <v>13</v>
      </c>
      <c r="S7" s="25">
        <v>14</v>
      </c>
      <c r="T7" s="25">
        <v>15</v>
      </c>
    </row>
    <row r="8" spans="3:22" ht="14.4" customHeight="1" x14ac:dyDescent="0.3">
      <c r="C8" s="95" t="s">
        <v>1</v>
      </c>
      <c r="D8" s="95" t="s">
        <v>2</v>
      </c>
      <c r="E8" s="96" t="s">
        <v>3</v>
      </c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8"/>
      <c r="U8" s="3"/>
      <c r="V8" s="91" t="s">
        <v>16</v>
      </c>
    </row>
    <row r="9" spans="3:22" x14ac:dyDescent="0.3">
      <c r="C9" s="95"/>
      <c r="D9" s="95"/>
      <c r="E9" s="4">
        <v>2022</v>
      </c>
      <c r="F9" s="4">
        <v>2023</v>
      </c>
      <c r="G9" s="4">
        <v>2024</v>
      </c>
      <c r="H9" s="4">
        <v>2025</v>
      </c>
      <c r="I9" s="4">
        <v>2026</v>
      </c>
      <c r="J9" s="4">
        <v>2027</v>
      </c>
      <c r="K9" s="4">
        <v>2028</v>
      </c>
      <c r="L9" s="4">
        <v>2029</v>
      </c>
      <c r="M9" s="4">
        <v>2030</v>
      </c>
      <c r="N9" s="4">
        <v>2031</v>
      </c>
      <c r="O9" s="4">
        <v>2032</v>
      </c>
      <c r="P9" s="4">
        <v>2033</v>
      </c>
      <c r="Q9" s="4">
        <v>2034</v>
      </c>
      <c r="R9" s="4">
        <v>2035</v>
      </c>
      <c r="S9" s="4">
        <v>2036</v>
      </c>
      <c r="T9" s="4">
        <v>2037</v>
      </c>
      <c r="U9" s="3"/>
      <c r="V9" s="91"/>
    </row>
    <row r="10" spans="3:22" x14ac:dyDescent="0.3">
      <c r="C10" s="92" t="s">
        <v>4</v>
      </c>
      <c r="D10" s="5" t="s">
        <v>5</v>
      </c>
      <c r="E10" s="6"/>
      <c r="F10" s="6"/>
      <c r="G10" s="6"/>
      <c r="H10" s="6"/>
      <c r="I10" s="6"/>
      <c r="J10" s="6"/>
      <c r="K10" s="6"/>
      <c r="L10" s="6"/>
      <c r="M10" s="23">
        <v>7286.5238830526414</v>
      </c>
      <c r="N10" s="6"/>
      <c r="O10" s="6"/>
      <c r="P10" s="6"/>
      <c r="Q10" s="6"/>
      <c r="R10" s="6"/>
      <c r="S10" s="6"/>
      <c r="T10" s="6"/>
      <c r="U10" s="3"/>
      <c r="V10" s="6">
        <v>7286.5238830526414</v>
      </c>
    </row>
    <row r="11" spans="3:22" x14ac:dyDescent="0.3">
      <c r="C11" s="93"/>
      <c r="D11" s="7" t="s">
        <v>11</v>
      </c>
      <c r="E11" s="8"/>
      <c r="F11" s="8"/>
      <c r="G11" s="8"/>
      <c r="H11" s="8"/>
      <c r="I11" s="8"/>
      <c r="J11" s="8"/>
      <c r="K11" s="8"/>
      <c r="L11" s="8"/>
      <c r="M11" s="8"/>
      <c r="N11" s="22">
        <v>15346.293113729069</v>
      </c>
      <c r="O11" s="8"/>
      <c r="P11" s="8"/>
      <c r="Q11" s="8"/>
      <c r="R11" s="8"/>
      <c r="S11" s="8"/>
      <c r="T11" s="8"/>
      <c r="U11" s="3"/>
      <c r="V11" s="8">
        <v>15346.293113729069</v>
      </c>
    </row>
    <row r="12" spans="3:22" x14ac:dyDescent="0.3">
      <c r="C12" s="93"/>
      <c r="D12" s="7" t="s">
        <v>12</v>
      </c>
      <c r="E12" s="8"/>
      <c r="F12" s="8"/>
      <c r="G12" s="8"/>
      <c r="H12" s="8"/>
      <c r="I12" s="8"/>
      <c r="J12" s="8"/>
      <c r="K12" s="8"/>
      <c r="L12" s="8"/>
      <c r="M12" s="8"/>
      <c r="N12" s="22">
        <v>615.42715006181834</v>
      </c>
      <c r="O12" s="8"/>
      <c r="P12" s="8"/>
      <c r="Q12" s="8"/>
      <c r="R12" s="8"/>
      <c r="S12" s="8"/>
      <c r="T12" s="8"/>
      <c r="U12" s="3"/>
      <c r="V12" s="8">
        <v>615.42715006181834</v>
      </c>
    </row>
    <row r="13" spans="3:22" x14ac:dyDescent="0.3">
      <c r="C13" s="93"/>
      <c r="D13" s="7" t="s">
        <v>13</v>
      </c>
      <c r="E13" s="8"/>
      <c r="F13" s="8"/>
      <c r="G13" s="8"/>
      <c r="H13" s="8"/>
      <c r="I13" s="8"/>
      <c r="J13" s="8"/>
      <c r="K13" s="8"/>
      <c r="L13" s="8"/>
      <c r="M13" s="8"/>
      <c r="N13" s="22">
        <v>397.37907483984725</v>
      </c>
      <c r="O13" s="8"/>
      <c r="P13" s="8"/>
      <c r="Q13" s="8"/>
      <c r="R13" s="8"/>
      <c r="S13" s="8"/>
      <c r="T13" s="8"/>
      <c r="U13" s="3"/>
      <c r="V13" s="8">
        <v>397.37907483984725</v>
      </c>
    </row>
    <row r="14" spans="3:22" x14ac:dyDescent="0.3">
      <c r="C14" s="94"/>
      <c r="D14" s="14" t="s">
        <v>17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7286.5238830526414</v>
      </c>
      <c r="N14" s="15">
        <v>16359.099338630735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3"/>
      <c r="V14" s="15">
        <v>23645.623221683374</v>
      </c>
    </row>
    <row r="15" spans="3:22" x14ac:dyDescent="0.3">
      <c r="C15" s="92" t="s">
        <v>6</v>
      </c>
      <c r="D15" s="7" t="s">
        <v>35</v>
      </c>
      <c r="E15" s="8"/>
      <c r="F15" s="24">
        <v>5000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"/>
      <c r="V15" s="8">
        <v>0</v>
      </c>
    </row>
    <row r="16" spans="3:22" x14ac:dyDescent="0.3">
      <c r="C16" s="93"/>
      <c r="D16" s="7" t="s">
        <v>33</v>
      </c>
      <c r="E16" s="8"/>
      <c r="F16" s="8"/>
      <c r="G16" s="22">
        <v>600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3"/>
      <c r="V16" s="8">
        <v>600</v>
      </c>
    </row>
    <row r="17" spans="3:22" x14ac:dyDescent="0.3">
      <c r="C17" s="93"/>
      <c r="D17" s="19" t="s">
        <v>24</v>
      </c>
      <c r="E17" s="18"/>
      <c r="F17" s="20"/>
      <c r="G17" s="20">
        <v>5600</v>
      </c>
      <c r="H17" s="20">
        <v>5600</v>
      </c>
      <c r="I17" s="20">
        <v>5600</v>
      </c>
      <c r="J17" s="20">
        <v>5600</v>
      </c>
      <c r="K17" s="20">
        <v>5600</v>
      </c>
      <c r="L17" s="20">
        <v>5600</v>
      </c>
      <c r="M17" s="20">
        <v>5600</v>
      </c>
      <c r="N17" s="20">
        <v>5600</v>
      </c>
      <c r="O17" s="20">
        <v>5600</v>
      </c>
      <c r="P17" s="20">
        <v>5600</v>
      </c>
      <c r="Q17" s="20">
        <v>5600</v>
      </c>
      <c r="R17" s="20">
        <v>5600</v>
      </c>
      <c r="S17" s="20">
        <v>5600</v>
      </c>
      <c r="T17" s="20">
        <v>5600</v>
      </c>
      <c r="U17" s="3"/>
      <c r="V17" s="8">
        <v>78400</v>
      </c>
    </row>
    <row r="18" spans="3:22" x14ac:dyDescent="0.3">
      <c r="C18" s="94"/>
      <c r="D18" s="14" t="s">
        <v>18</v>
      </c>
      <c r="E18" s="15">
        <v>0</v>
      </c>
      <c r="F18" s="15">
        <v>5000</v>
      </c>
      <c r="G18" s="15">
        <v>6200</v>
      </c>
      <c r="H18" s="15">
        <v>5600</v>
      </c>
      <c r="I18" s="15">
        <v>5600</v>
      </c>
      <c r="J18" s="15">
        <v>5600</v>
      </c>
      <c r="K18" s="15">
        <v>5600</v>
      </c>
      <c r="L18" s="15">
        <v>5600</v>
      </c>
      <c r="M18" s="15">
        <v>5600</v>
      </c>
      <c r="N18" s="15">
        <v>5600</v>
      </c>
      <c r="O18" s="15">
        <v>5600</v>
      </c>
      <c r="P18" s="15">
        <v>5600</v>
      </c>
      <c r="Q18" s="15">
        <v>5600</v>
      </c>
      <c r="R18" s="15">
        <v>5600</v>
      </c>
      <c r="S18" s="15">
        <v>5600</v>
      </c>
      <c r="T18" s="15">
        <v>5600</v>
      </c>
      <c r="U18" s="3"/>
      <c r="V18" s="15">
        <v>79000</v>
      </c>
    </row>
    <row r="19" spans="3:22" x14ac:dyDescent="0.3">
      <c r="C19" s="92" t="s">
        <v>7</v>
      </c>
      <c r="D19" s="7" t="s">
        <v>39</v>
      </c>
      <c r="E19" s="8"/>
      <c r="F19" s="8"/>
      <c r="G19" s="22">
        <v>3500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3"/>
      <c r="V19" s="8">
        <v>3500</v>
      </c>
    </row>
    <row r="20" spans="3:22" x14ac:dyDescent="0.3">
      <c r="C20" s="93"/>
      <c r="D20" s="12" t="s">
        <v>30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V20" s="8">
        <v>0</v>
      </c>
    </row>
    <row r="21" spans="3:22" x14ac:dyDescent="0.3">
      <c r="C21" s="93"/>
      <c r="D21" s="7" t="s">
        <v>31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22">
        <v>758.25095326069072</v>
      </c>
      <c r="S21" s="8"/>
      <c r="T21" s="8"/>
      <c r="U21" s="3"/>
      <c r="V21" s="8">
        <v>758.25095326069072</v>
      </c>
    </row>
    <row r="22" spans="3:22" x14ac:dyDescent="0.3">
      <c r="C22" s="93"/>
      <c r="D22" s="7" t="s">
        <v>32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22">
        <v>905.14024400002631</v>
      </c>
      <c r="S22" s="8"/>
      <c r="T22" s="8"/>
      <c r="U22" s="3"/>
      <c r="V22" s="8">
        <v>905.14024400002631</v>
      </c>
    </row>
    <row r="23" spans="3:22" x14ac:dyDescent="0.3">
      <c r="C23" s="93"/>
      <c r="D23" s="7" t="s">
        <v>28</v>
      </c>
      <c r="E23" s="8" t="s">
        <v>22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22">
        <v>777.55382891905617</v>
      </c>
      <c r="R23" s="8"/>
      <c r="S23" s="8"/>
      <c r="T23" s="8"/>
      <c r="U23" s="3"/>
      <c r="V23" s="8">
        <v>777.55382891905617</v>
      </c>
    </row>
    <row r="24" spans="3:22" x14ac:dyDescent="0.3">
      <c r="C24" s="93"/>
      <c r="D24" s="7" t="s">
        <v>29</v>
      </c>
      <c r="E24" s="8" t="s">
        <v>22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22">
        <v>1937.4717074651894</v>
      </c>
      <c r="R24" s="8"/>
      <c r="S24" s="8"/>
      <c r="T24" s="8"/>
      <c r="U24" s="3"/>
      <c r="V24" s="8">
        <v>1937.4717074651894</v>
      </c>
    </row>
    <row r="25" spans="3:22" x14ac:dyDescent="0.3">
      <c r="C25" s="93"/>
      <c r="D25" s="7" t="s">
        <v>14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22">
        <v>1179.47778879509</v>
      </c>
      <c r="R25" s="8"/>
      <c r="S25" s="8"/>
      <c r="T25" s="8"/>
      <c r="U25" s="3"/>
      <c r="V25" s="8">
        <v>1179.47778879509</v>
      </c>
    </row>
    <row r="26" spans="3:22" x14ac:dyDescent="0.3">
      <c r="C26" s="93"/>
      <c r="D26" s="7" t="s">
        <v>15</v>
      </c>
      <c r="E26" s="8"/>
      <c r="F26" s="8"/>
      <c r="G26" s="8"/>
      <c r="H26" s="8"/>
      <c r="I26" s="8"/>
      <c r="J26" s="8"/>
      <c r="K26" s="8"/>
      <c r="L26" s="8"/>
      <c r="M26" s="22">
        <v>2841.0648031376745</v>
      </c>
      <c r="N26" s="8"/>
      <c r="O26" s="8"/>
      <c r="P26" s="8"/>
      <c r="Q26" s="8"/>
      <c r="R26" s="8"/>
      <c r="S26" s="8"/>
      <c r="T26" s="8"/>
      <c r="U26" s="3"/>
      <c r="V26" s="8">
        <v>2841.0648031376745</v>
      </c>
    </row>
    <row r="27" spans="3:22" x14ac:dyDescent="0.3">
      <c r="C27" s="93"/>
      <c r="D27" s="7" t="s">
        <v>27</v>
      </c>
      <c r="E27" s="8" t="s">
        <v>22</v>
      </c>
      <c r="F27" s="8"/>
      <c r="G27" s="8"/>
      <c r="H27" s="8"/>
      <c r="I27" s="8"/>
      <c r="J27" s="8"/>
      <c r="K27" s="8"/>
      <c r="L27" s="8"/>
      <c r="M27" s="8"/>
      <c r="N27" s="22">
        <v>1284.7947392070291</v>
      </c>
      <c r="O27" s="8"/>
      <c r="P27" s="8"/>
      <c r="Q27" s="8"/>
      <c r="R27" s="8"/>
      <c r="S27" s="8"/>
      <c r="T27" s="8"/>
      <c r="U27" s="3"/>
      <c r="V27" s="8">
        <v>1284.7947392070291</v>
      </c>
    </row>
    <row r="28" spans="3:22" x14ac:dyDescent="0.3">
      <c r="C28" s="93"/>
      <c r="D28" s="7" t="s">
        <v>23</v>
      </c>
      <c r="E28" s="8" t="s">
        <v>21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22">
        <v>1590.7278236895932</v>
      </c>
      <c r="R28" s="8"/>
      <c r="S28" s="8"/>
      <c r="T28" s="8"/>
      <c r="U28" s="3"/>
      <c r="V28" s="8">
        <v>1590.7278236895932</v>
      </c>
    </row>
    <row r="29" spans="3:22" x14ac:dyDescent="0.3">
      <c r="C29" s="93"/>
      <c r="D29" s="7" t="s">
        <v>26</v>
      </c>
      <c r="E29" s="8" t="s">
        <v>22</v>
      </c>
      <c r="F29" s="8"/>
      <c r="G29" s="8"/>
      <c r="H29" s="8"/>
      <c r="I29" s="8"/>
      <c r="J29" s="8"/>
      <c r="K29" s="22">
        <v>341.29347680492879</v>
      </c>
      <c r="L29" s="8"/>
      <c r="M29" s="8"/>
      <c r="N29" s="8"/>
      <c r="O29" s="8"/>
      <c r="P29" s="8"/>
      <c r="Q29" s="8"/>
      <c r="R29" s="8"/>
      <c r="S29" s="8"/>
      <c r="T29" s="8"/>
      <c r="U29" s="3"/>
      <c r="V29" s="8">
        <v>341.29347680492879</v>
      </c>
    </row>
    <row r="30" spans="3:22" x14ac:dyDescent="0.3">
      <c r="C30" s="93"/>
      <c r="D30" s="19" t="s">
        <v>25</v>
      </c>
      <c r="E30" s="18"/>
      <c r="F30" s="20"/>
      <c r="G30" s="20"/>
      <c r="H30" s="20">
        <v>3500</v>
      </c>
      <c r="I30" s="20">
        <v>3500</v>
      </c>
      <c r="J30" s="20">
        <v>3500</v>
      </c>
      <c r="K30" s="20">
        <v>3500</v>
      </c>
      <c r="L30" s="20">
        <v>3500</v>
      </c>
      <c r="M30" s="20">
        <v>3500</v>
      </c>
      <c r="N30" s="20">
        <v>3500</v>
      </c>
      <c r="O30" s="20">
        <v>3500</v>
      </c>
      <c r="P30" s="20">
        <v>3500</v>
      </c>
      <c r="Q30" s="20">
        <v>3500</v>
      </c>
      <c r="R30" s="20">
        <v>3500</v>
      </c>
      <c r="S30" s="20">
        <v>3500</v>
      </c>
      <c r="T30" s="20">
        <v>3500</v>
      </c>
      <c r="U30" s="3"/>
      <c r="V30" s="8">
        <v>45500</v>
      </c>
    </row>
    <row r="31" spans="3:22" x14ac:dyDescent="0.3">
      <c r="C31" s="94"/>
      <c r="D31" s="14" t="s">
        <v>19</v>
      </c>
      <c r="E31" s="15">
        <v>0</v>
      </c>
      <c r="F31" s="15">
        <v>0</v>
      </c>
      <c r="G31" s="15">
        <v>3500</v>
      </c>
      <c r="H31" s="15">
        <v>3500</v>
      </c>
      <c r="I31" s="15">
        <v>3500</v>
      </c>
      <c r="J31" s="15">
        <v>3500</v>
      </c>
      <c r="K31" s="15">
        <v>3841.293476804929</v>
      </c>
      <c r="L31" s="15">
        <v>3500</v>
      </c>
      <c r="M31" s="15">
        <v>6341.064803137675</v>
      </c>
      <c r="N31" s="15">
        <v>4784.7947392070291</v>
      </c>
      <c r="O31" s="15">
        <v>3500</v>
      </c>
      <c r="P31" s="15">
        <v>3500</v>
      </c>
      <c r="Q31" s="15">
        <v>8985.2311488689284</v>
      </c>
      <c r="R31" s="15">
        <v>5163.3911972607166</v>
      </c>
      <c r="S31" s="15">
        <v>3500</v>
      </c>
      <c r="T31" s="15">
        <v>3500</v>
      </c>
      <c r="U31" s="3"/>
      <c r="V31" s="15">
        <v>60615.775365279282</v>
      </c>
    </row>
    <row r="32" spans="3:22" x14ac:dyDescent="0.3">
      <c r="C32" s="92" t="s">
        <v>8</v>
      </c>
      <c r="D32" s="7" t="s">
        <v>34</v>
      </c>
      <c r="E32" s="8"/>
      <c r="F32" s="8"/>
      <c r="G32" s="8"/>
      <c r="H32" s="8"/>
      <c r="I32" s="8"/>
      <c r="J32" s="8"/>
      <c r="K32" s="22">
        <v>61195.966805723583</v>
      </c>
      <c r="L32" s="8"/>
      <c r="M32" s="8"/>
      <c r="N32" s="8"/>
      <c r="O32" s="8"/>
      <c r="P32" s="8"/>
      <c r="Q32" s="8"/>
      <c r="R32" s="8"/>
      <c r="S32" s="8"/>
      <c r="T32" s="8"/>
      <c r="U32" s="3"/>
      <c r="V32" s="8">
        <v>61195.966805723583</v>
      </c>
    </row>
    <row r="33" spans="3:23" x14ac:dyDescent="0.3">
      <c r="C33" s="93"/>
      <c r="D33" s="7" t="s">
        <v>9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22">
        <v>220</v>
      </c>
      <c r="T33" s="8"/>
      <c r="U33" s="3"/>
      <c r="V33" s="8">
        <v>220</v>
      </c>
    </row>
    <row r="34" spans="3:23" x14ac:dyDescent="0.3">
      <c r="C34" s="94"/>
      <c r="D34" s="14" t="s">
        <v>20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61195.966805723583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220</v>
      </c>
      <c r="T34" s="15">
        <v>0</v>
      </c>
      <c r="U34" s="3"/>
      <c r="V34" s="15">
        <v>61415.966805723583</v>
      </c>
    </row>
    <row r="35" spans="3:23" x14ac:dyDescent="0.3">
      <c r="C35" s="10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3"/>
      <c r="V35" s="13"/>
    </row>
    <row r="36" spans="3:23" x14ac:dyDescent="0.3">
      <c r="C36" s="9"/>
      <c r="D36" s="9" t="s">
        <v>10</v>
      </c>
      <c r="E36" s="11">
        <v>0</v>
      </c>
      <c r="F36" s="11">
        <v>5000</v>
      </c>
      <c r="G36" s="11">
        <v>9700</v>
      </c>
      <c r="H36" s="11">
        <v>9100</v>
      </c>
      <c r="I36" s="11">
        <v>9100</v>
      </c>
      <c r="J36" s="11">
        <v>9100</v>
      </c>
      <c r="K36" s="11">
        <v>70637.260282528514</v>
      </c>
      <c r="L36" s="11">
        <v>9100</v>
      </c>
      <c r="M36" s="11">
        <v>19227.588686190316</v>
      </c>
      <c r="N36" s="11">
        <v>26743.894077837766</v>
      </c>
      <c r="O36" s="11">
        <v>9100</v>
      </c>
      <c r="P36" s="11">
        <v>9100</v>
      </c>
      <c r="Q36" s="11">
        <v>14585.231148868928</v>
      </c>
      <c r="R36" s="11">
        <v>10763.391197260717</v>
      </c>
      <c r="S36" s="11">
        <v>9320</v>
      </c>
      <c r="T36" s="11">
        <v>9100</v>
      </c>
      <c r="U36" s="3"/>
      <c r="V36" s="11">
        <v>224677.36539268622</v>
      </c>
      <c r="W36" s="16">
        <v>224677.36539268625</v>
      </c>
    </row>
    <row r="38" spans="3:23" x14ac:dyDescent="0.3">
      <c r="C38" s="1" t="s">
        <v>37</v>
      </c>
      <c r="D38" s="21" t="s">
        <v>36</v>
      </c>
    </row>
    <row r="39" spans="3:23" x14ac:dyDescent="0.3">
      <c r="D39" s="21" t="s">
        <v>38</v>
      </c>
      <c r="F39" s="17"/>
    </row>
    <row r="40" spans="3:23" x14ac:dyDescent="0.3">
      <c r="D40" s="21"/>
    </row>
  </sheetData>
  <mergeCells count="8">
    <mergeCell ref="V8:V9"/>
    <mergeCell ref="C32:C34"/>
    <mergeCell ref="C8:C9"/>
    <mergeCell ref="D8:D9"/>
    <mergeCell ref="C10:C14"/>
    <mergeCell ref="C15:C18"/>
    <mergeCell ref="C19:C31"/>
    <mergeCell ref="E8:T8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F4BE7-5371-437C-B624-777E04155CF1}">
  <sheetPr>
    <pageSetUpPr fitToPage="1"/>
  </sheetPr>
  <dimension ref="C1:X88"/>
  <sheetViews>
    <sheetView topLeftCell="C52" zoomScale="120" zoomScaleNormal="120" workbookViewId="0">
      <selection activeCell="M73" sqref="M73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77734375" style="42" bestFit="1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ht="17.399999999999999" customHeight="1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2" t="s">
        <v>6</v>
      </c>
      <c r="D19" s="19" t="s">
        <v>33</v>
      </c>
      <c r="E19" s="20"/>
      <c r="F19" s="20"/>
      <c r="G19" s="20">
        <v>600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 t="shared" ref="V19:V34" si="2">+SUM(F19:T19)</f>
        <v>600</v>
      </c>
    </row>
    <row r="20" spans="3:22" x14ac:dyDescent="0.3">
      <c r="C20" s="82"/>
      <c r="D20" s="19" t="s">
        <v>151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/>
    </row>
    <row r="21" spans="3:22" ht="26.4" x14ac:dyDescent="0.3">
      <c r="C21" s="82"/>
      <c r="D21" s="77" t="s">
        <v>137</v>
      </c>
      <c r="E21" s="20"/>
      <c r="F21" s="20"/>
      <c r="G21" s="20"/>
      <c r="H21" s="20"/>
      <c r="I21" s="20"/>
      <c r="J21" s="20"/>
      <c r="K21" s="20">
        <f>4.59*1000</f>
        <v>4590</v>
      </c>
      <c r="L21" s="20"/>
      <c r="M21" s="20"/>
      <c r="N21" s="20"/>
      <c r="O21" s="20"/>
      <c r="P21" s="20"/>
      <c r="Q21" s="20"/>
      <c r="R21" s="20"/>
      <c r="S21" s="20"/>
      <c r="T21" s="20"/>
      <c r="U21" s="45"/>
      <c r="V21" s="20">
        <f t="shared" si="2"/>
        <v>4590</v>
      </c>
    </row>
    <row r="22" spans="3:22" ht="26.4" x14ac:dyDescent="0.3">
      <c r="C22" s="82"/>
      <c r="D22" s="77" t="s">
        <v>160</v>
      </c>
      <c r="E22" s="20"/>
      <c r="F22" s="20"/>
      <c r="G22" s="20"/>
      <c r="H22" s="20"/>
      <c r="I22" s="20"/>
      <c r="J22" s="20"/>
      <c r="K22" s="20"/>
      <c r="L22" s="20">
        <f>4.59*710</f>
        <v>3258.9</v>
      </c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3258.9</v>
      </c>
    </row>
    <row r="23" spans="3:22" ht="26.4" x14ac:dyDescent="0.3">
      <c r="C23" s="82"/>
      <c r="D23" s="77" t="s">
        <v>138</v>
      </c>
      <c r="E23" s="20"/>
      <c r="F23" s="20"/>
      <c r="G23" s="20"/>
      <c r="H23" s="20"/>
      <c r="I23" s="20"/>
      <c r="J23" s="20"/>
      <c r="K23" s="20"/>
      <c r="L23" s="20">
        <f>240*4.59</f>
        <v>1101.5999999999999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1101.5999999999999</v>
      </c>
    </row>
    <row r="24" spans="3:22" ht="26.4" x14ac:dyDescent="0.3">
      <c r="C24" s="82"/>
      <c r="D24" s="77" t="s">
        <v>139</v>
      </c>
      <c r="E24" s="20"/>
      <c r="F24" s="20"/>
      <c r="G24" s="20"/>
      <c r="H24" s="20"/>
      <c r="I24" s="20"/>
      <c r="J24" s="20"/>
      <c r="K24" s="20"/>
      <c r="L24" s="20">
        <f>330*4.59</f>
        <v>1514.7</v>
      </c>
      <c r="M24" s="20"/>
      <c r="N24" s="20"/>
      <c r="O24" s="20"/>
      <c r="P24" s="20"/>
      <c r="Q24" s="20"/>
      <c r="R24" s="20"/>
      <c r="S24" s="20"/>
      <c r="T24" s="20"/>
      <c r="U24" s="45"/>
      <c r="V24" s="20">
        <f t="shared" si="2"/>
        <v>1514.7</v>
      </c>
    </row>
    <row r="25" spans="3:22" ht="26.4" x14ac:dyDescent="0.3">
      <c r="C25" s="82"/>
      <c r="D25" s="77" t="s">
        <v>140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f>5.3*370</f>
        <v>1961</v>
      </c>
      <c r="Q25" s="20"/>
      <c r="R25" s="20"/>
      <c r="S25" s="20"/>
      <c r="T25" s="20"/>
      <c r="U25" s="45"/>
      <c r="V25" s="20">
        <f t="shared" si="2"/>
        <v>1961</v>
      </c>
    </row>
    <row r="26" spans="3:22" ht="26.4" x14ac:dyDescent="0.3">
      <c r="C26" s="82"/>
      <c r="D26" s="77" t="s">
        <v>150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>
        <f>5.3*800</f>
        <v>4240</v>
      </c>
      <c r="S26" s="20"/>
      <c r="T26" s="20"/>
      <c r="U26" s="45"/>
      <c r="V26" s="20">
        <f t="shared" si="2"/>
        <v>4240</v>
      </c>
    </row>
    <row r="27" spans="3:22" ht="26.4" x14ac:dyDescent="0.3">
      <c r="C27" s="82"/>
      <c r="D27" s="77" t="s">
        <v>141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>
        <f>520*4.59</f>
        <v>2386.7999999999997</v>
      </c>
      <c r="T27" s="20"/>
      <c r="U27" s="45"/>
      <c r="V27" s="20">
        <f t="shared" si="2"/>
        <v>2386.7999999999997</v>
      </c>
    </row>
    <row r="28" spans="3:22" ht="26.4" x14ac:dyDescent="0.3">
      <c r="C28" s="82"/>
      <c r="D28" s="77" t="s">
        <v>142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3.22*111</f>
        <v>357.42</v>
      </c>
      <c r="T28" s="20"/>
      <c r="U28" s="45"/>
      <c r="V28" s="20">
        <f t="shared" si="2"/>
        <v>357.42</v>
      </c>
    </row>
    <row r="29" spans="3:22" ht="26.4" x14ac:dyDescent="0.3">
      <c r="C29" s="82"/>
      <c r="D29" s="77" t="s">
        <v>143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3.22*124</f>
        <v>399.28000000000003</v>
      </c>
      <c r="T29" s="20"/>
      <c r="U29" s="45"/>
      <c r="V29" s="20">
        <f t="shared" si="2"/>
        <v>399.28000000000003</v>
      </c>
    </row>
    <row r="30" spans="3:22" ht="26.4" x14ac:dyDescent="0.3">
      <c r="C30" s="82"/>
      <c r="D30" s="77" t="s">
        <v>144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f>137*3.22</f>
        <v>441.14000000000004</v>
      </c>
      <c r="T30" s="20"/>
      <c r="U30" s="45"/>
      <c r="V30" s="20">
        <f t="shared" si="2"/>
        <v>441.14000000000004</v>
      </c>
    </row>
    <row r="31" spans="3:22" x14ac:dyDescent="0.3">
      <c r="C31" s="82"/>
      <c r="D31" s="19" t="s">
        <v>153</v>
      </c>
      <c r="E31" s="20"/>
      <c r="F31" s="20"/>
      <c r="G31" s="20"/>
      <c r="H31" s="20">
        <v>326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45"/>
      <c r="V31" s="20">
        <f t="shared" si="2"/>
        <v>326</v>
      </c>
    </row>
    <row r="32" spans="3:22" x14ac:dyDescent="0.3">
      <c r="C32" s="82"/>
      <c r="D32" s="19" t="s">
        <v>94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>
        <v>3000</v>
      </c>
      <c r="T32" s="20"/>
      <c r="U32" s="45"/>
      <c r="V32" s="20">
        <f t="shared" si="2"/>
        <v>3000</v>
      </c>
    </row>
    <row r="33" spans="3:22" x14ac:dyDescent="0.3">
      <c r="C33" s="82"/>
      <c r="D33" s="19" t="s">
        <v>63</v>
      </c>
      <c r="E33" s="20"/>
      <c r="F33" s="20">
        <v>5600</v>
      </c>
      <c r="G33" s="20">
        <v>5600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45"/>
      <c r="V33" s="20">
        <f t="shared" si="2"/>
        <v>11200</v>
      </c>
    </row>
    <row r="34" spans="3:22" x14ac:dyDescent="0.3">
      <c r="C34" s="82"/>
      <c r="D34" s="19" t="s">
        <v>98</v>
      </c>
      <c r="E34" s="52"/>
      <c r="F34" s="20"/>
      <c r="G34" s="20"/>
      <c r="H34" s="20">
        <v>7000</v>
      </c>
      <c r="I34" s="20">
        <f>+H34</f>
        <v>7000</v>
      </c>
      <c r="J34" s="20">
        <f t="shared" ref="J34:T34" si="3">+I34</f>
        <v>7000</v>
      </c>
      <c r="K34" s="20">
        <f t="shared" si="3"/>
        <v>7000</v>
      </c>
      <c r="L34" s="20">
        <f t="shared" si="3"/>
        <v>7000</v>
      </c>
      <c r="M34" s="20">
        <f t="shared" si="3"/>
        <v>7000</v>
      </c>
      <c r="N34" s="20">
        <f t="shared" si="3"/>
        <v>7000</v>
      </c>
      <c r="O34" s="20">
        <f t="shared" si="3"/>
        <v>7000</v>
      </c>
      <c r="P34" s="20">
        <f t="shared" si="3"/>
        <v>7000</v>
      </c>
      <c r="Q34" s="20">
        <f t="shared" si="3"/>
        <v>7000</v>
      </c>
      <c r="R34" s="20">
        <f t="shared" si="3"/>
        <v>7000</v>
      </c>
      <c r="S34" s="20">
        <f t="shared" si="3"/>
        <v>7000</v>
      </c>
      <c r="T34" s="20">
        <f t="shared" si="3"/>
        <v>7000</v>
      </c>
      <c r="U34" s="45"/>
      <c r="V34" s="20">
        <f t="shared" si="2"/>
        <v>91000</v>
      </c>
    </row>
    <row r="35" spans="3:22" x14ac:dyDescent="0.3">
      <c r="C35" s="83"/>
      <c r="D35" s="50" t="s">
        <v>18</v>
      </c>
      <c r="E35" s="51">
        <v>0</v>
      </c>
      <c r="F35" s="51">
        <f t="shared" ref="F35:T35" si="4">+SUM(F19:F34)</f>
        <v>5600</v>
      </c>
      <c r="G35" s="51">
        <f t="shared" si="4"/>
        <v>6200</v>
      </c>
      <c r="H35" s="51">
        <f t="shared" si="4"/>
        <v>7326</v>
      </c>
      <c r="I35" s="51">
        <f t="shared" si="4"/>
        <v>7000</v>
      </c>
      <c r="J35" s="51">
        <f t="shared" si="4"/>
        <v>7000</v>
      </c>
      <c r="K35" s="51">
        <f t="shared" si="4"/>
        <v>11590</v>
      </c>
      <c r="L35" s="51">
        <f t="shared" si="4"/>
        <v>12875.2</v>
      </c>
      <c r="M35" s="51">
        <f t="shared" si="4"/>
        <v>7000</v>
      </c>
      <c r="N35" s="51">
        <f t="shared" si="4"/>
        <v>7000</v>
      </c>
      <c r="O35" s="51">
        <f t="shared" si="4"/>
        <v>7000</v>
      </c>
      <c r="P35" s="51">
        <f t="shared" si="4"/>
        <v>8961</v>
      </c>
      <c r="Q35" s="51">
        <f t="shared" si="4"/>
        <v>7000</v>
      </c>
      <c r="R35" s="51">
        <f t="shared" si="4"/>
        <v>11240</v>
      </c>
      <c r="S35" s="51">
        <f t="shared" si="4"/>
        <v>13584.64</v>
      </c>
      <c r="T35" s="51">
        <f t="shared" si="4"/>
        <v>7000</v>
      </c>
      <c r="U35" s="45"/>
      <c r="V35" s="51">
        <f>+SUM(F35:T35)</f>
        <v>126376.84</v>
      </c>
    </row>
    <row r="36" spans="3:22" ht="26.4" x14ac:dyDescent="0.3">
      <c r="C36" s="81" t="s">
        <v>7</v>
      </c>
      <c r="D36" s="79" t="s">
        <v>154</v>
      </c>
      <c r="E36" s="20"/>
      <c r="F36" s="20"/>
      <c r="G36" s="20">
        <v>250</v>
      </c>
      <c r="H36" s="20">
        <f>+G36</f>
        <v>250</v>
      </c>
      <c r="I36" s="20">
        <f t="shared" ref="I36:T36" si="5">+H36</f>
        <v>250</v>
      </c>
      <c r="J36" s="20">
        <f t="shared" si="5"/>
        <v>250</v>
      </c>
      <c r="K36" s="20">
        <f t="shared" si="5"/>
        <v>250</v>
      </c>
      <c r="L36" s="20">
        <f t="shared" si="5"/>
        <v>250</v>
      </c>
      <c r="M36" s="20">
        <f t="shared" si="5"/>
        <v>250</v>
      </c>
      <c r="N36" s="20">
        <f t="shared" si="5"/>
        <v>250</v>
      </c>
      <c r="O36" s="20">
        <f t="shared" si="5"/>
        <v>250</v>
      </c>
      <c r="P36" s="20">
        <f t="shared" si="5"/>
        <v>250</v>
      </c>
      <c r="Q36" s="20">
        <f t="shared" si="5"/>
        <v>250</v>
      </c>
      <c r="R36" s="20">
        <f t="shared" si="5"/>
        <v>250</v>
      </c>
      <c r="S36" s="20">
        <f t="shared" si="5"/>
        <v>250</v>
      </c>
      <c r="T36" s="20">
        <f t="shared" si="5"/>
        <v>250</v>
      </c>
      <c r="U36" s="45"/>
      <c r="V36" s="20">
        <f>+SUM(F36:T36)</f>
        <v>3500</v>
      </c>
    </row>
    <row r="37" spans="3:22" x14ac:dyDescent="0.3">
      <c r="C37" s="82"/>
      <c r="D37" s="19" t="s">
        <v>149</v>
      </c>
      <c r="E37" s="20"/>
      <c r="F37" s="20">
        <v>330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45"/>
      <c r="V37" s="20">
        <f t="shared" ref="V37:V61" si="6">+SUM(F37:T37)</f>
        <v>330</v>
      </c>
    </row>
    <row r="38" spans="3:22" x14ac:dyDescent="0.3">
      <c r="C38" s="82"/>
      <c r="D38" s="19" t="s">
        <v>31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>
        <v>758.25095326069072</v>
      </c>
      <c r="P38" s="20"/>
      <c r="Q38" s="20"/>
      <c r="R38" s="20"/>
      <c r="S38" s="20"/>
      <c r="T38" s="20"/>
      <c r="U38" s="45"/>
      <c r="V38" s="20">
        <f t="shared" si="6"/>
        <v>758.25095326069072</v>
      </c>
    </row>
    <row r="39" spans="3:22" x14ac:dyDescent="0.3">
      <c r="C39" s="82"/>
      <c r="D39" s="19" t="s">
        <v>32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905.14024400002631</v>
      </c>
      <c r="Q39" s="20"/>
      <c r="R39" s="20"/>
      <c r="S39" s="20"/>
      <c r="T39" s="20"/>
      <c r="U39" s="45"/>
      <c r="V39" s="20">
        <f t="shared" si="6"/>
        <v>905.14024400002631</v>
      </c>
    </row>
    <row r="40" spans="3:22" x14ac:dyDescent="0.3">
      <c r="C40" s="82"/>
      <c r="D40" s="19" t="s">
        <v>41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>
        <v>1370.1</v>
      </c>
      <c r="R40" s="20"/>
      <c r="S40" s="20"/>
      <c r="T40" s="20"/>
      <c r="U40" s="45"/>
      <c r="V40" s="20">
        <f t="shared" si="6"/>
        <v>1370.1</v>
      </c>
    </row>
    <row r="41" spans="3:22" x14ac:dyDescent="0.3">
      <c r="C41" s="82"/>
      <c r="D41" s="19" t="s">
        <v>42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1250</v>
      </c>
      <c r="R41" s="20"/>
      <c r="S41" s="20"/>
      <c r="T41" s="20"/>
      <c r="U41" s="45"/>
      <c r="V41" s="20">
        <f t="shared" si="6"/>
        <v>1250</v>
      </c>
    </row>
    <row r="42" spans="3:22" x14ac:dyDescent="0.3">
      <c r="C42" s="82"/>
      <c r="D42" s="19" t="s">
        <v>43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900</v>
      </c>
      <c r="R42" s="20"/>
      <c r="S42" s="20"/>
      <c r="T42" s="20"/>
      <c r="U42" s="45"/>
      <c r="V42" s="20">
        <f t="shared" si="6"/>
        <v>900</v>
      </c>
    </row>
    <row r="43" spans="3:22" x14ac:dyDescent="0.3">
      <c r="C43" s="82"/>
      <c r="D43" s="19" t="s">
        <v>126</v>
      </c>
      <c r="E43" s="20"/>
      <c r="F43" s="20"/>
      <c r="G43" s="20"/>
      <c r="H43" s="20">
        <v>3000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45"/>
      <c r="V43" s="20">
        <f t="shared" si="6"/>
        <v>3000</v>
      </c>
    </row>
    <row r="44" spans="3:22" x14ac:dyDescent="0.3">
      <c r="C44" s="82"/>
      <c r="D44" s="19" t="s">
        <v>152</v>
      </c>
      <c r="E44" s="20"/>
      <c r="F44" s="20"/>
      <c r="G44" s="20"/>
      <c r="H44" s="20">
        <f>100000000/36800/1.5</f>
        <v>1811.5942028985507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45"/>
      <c r="V44" s="20">
        <f t="shared" si="6"/>
        <v>1811.5942028985507</v>
      </c>
    </row>
    <row r="45" spans="3:22" ht="26.4" x14ac:dyDescent="0.3">
      <c r="C45" s="82"/>
      <c r="D45" s="77" t="s">
        <v>127</v>
      </c>
      <c r="E45" s="20" t="s">
        <v>22</v>
      </c>
      <c r="F45" s="20"/>
      <c r="G45" s="20"/>
      <c r="H45" s="20"/>
      <c r="I45" s="20"/>
      <c r="J45" s="20"/>
      <c r="K45" s="20"/>
      <c r="L45" s="20"/>
      <c r="M45" s="20"/>
      <c r="N45" s="20">
        <v>777.55382891905617</v>
      </c>
      <c r="O45" s="20"/>
      <c r="P45" s="20"/>
      <c r="Q45" s="20"/>
      <c r="R45" s="20"/>
      <c r="S45" s="20"/>
      <c r="T45" s="20"/>
      <c r="U45" s="45"/>
      <c r="V45" s="20">
        <f t="shared" si="6"/>
        <v>777.55382891905617</v>
      </c>
    </row>
    <row r="46" spans="3:22" ht="26.4" x14ac:dyDescent="0.3">
      <c r="C46" s="82"/>
      <c r="D46" s="77" t="s">
        <v>128</v>
      </c>
      <c r="E46" s="20" t="s">
        <v>22</v>
      </c>
      <c r="F46" s="20"/>
      <c r="G46" s="20"/>
      <c r="H46" s="20"/>
      <c r="I46" s="20"/>
      <c r="J46" s="20"/>
      <c r="K46" s="20"/>
      <c r="L46" s="20"/>
      <c r="M46" s="20"/>
      <c r="N46" s="20">
        <v>1937.4717074651894</v>
      </c>
      <c r="O46" s="20"/>
      <c r="P46" s="20"/>
      <c r="Q46" s="20"/>
      <c r="R46" s="20"/>
      <c r="S46" s="20"/>
      <c r="T46" s="20"/>
      <c r="U46" s="45"/>
      <c r="V46" s="20">
        <f t="shared" si="6"/>
        <v>1937.4717074651894</v>
      </c>
    </row>
    <row r="47" spans="3:22" ht="26.4" x14ac:dyDescent="0.3">
      <c r="C47" s="82"/>
      <c r="D47" s="77" t="s">
        <v>129</v>
      </c>
      <c r="E47" s="20"/>
      <c r="F47" s="20"/>
      <c r="G47" s="20"/>
      <c r="H47" s="20"/>
      <c r="I47" s="20"/>
      <c r="J47" s="20"/>
      <c r="K47" s="20"/>
      <c r="L47" s="20"/>
      <c r="M47" s="20"/>
      <c r="N47" s="20">
        <v>1179.47778879509</v>
      </c>
      <c r="O47" s="20"/>
      <c r="P47" s="20"/>
      <c r="Q47" s="20"/>
      <c r="R47" s="20"/>
      <c r="S47" s="20"/>
      <c r="T47" s="20"/>
      <c r="U47" s="45"/>
      <c r="V47" s="20">
        <f t="shared" si="6"/>
        <v>1179.47778879509</v>
      </c>
    </row>
    <row r="48" spans="3:22" ht="26.4" x14ac:dyDescent="0.3">
      <c r="C48" s="82"/>
      <c r="D48" s="77" t="s">
        <v>130</v>
      </c>
      <c r="E48" s="20" t="s">
        <v>22</v>
      </c>
      <c r="F48" s="20"/>
      <c r="G48" s="20"/>
      <c r="H48" s="20"/>
      <c r="I48" s="20"/>
      <c r="J48" s="20"/>
      <c r="K48" s="20">
        <v>1284.7947392070291</v>
      </c>
      <c r="L48" s="20"/>
      <c r="M48" s="20"/>
      <c r="N48" s="20"/>
      <c r="O48" s="20"/>
      <c r="P48" s="20"/>
      <c r="Q48" s="20"/>
      <c r="R48" s="20"/>
      <c r="S48" s="20"/>
      <c r="T48" s="20"/>
      <c r="U48" s="45"/>
      <c r="V48" s="20">
        <f t="shared" si="6"/>
        <v>1284.7947392070291</v>
      </c>
    </row>
    <row r="49" spans="3:23" ht="26.4" x14ac:dyDescent="0.3">
      <c r="C49" s="82"/>
      <c r="D49" s="77" t="s">
        <v>131</v>
      </c>
      <c r="E49" s="20" t="s">
        <v>21</v>
      </c>
      <c r="F49" s="20"/>
      <c r="G49" s="20"/>
      <c r="H49" s="20"/>
      <c r="I49" s="20"/>
      <c r="J49" s="20"/>
      <c r="K49" s="20"/>
      <c r="L49" s="20"/>
      <c r="M49" s="20"/>
      <c r="N49" s="20">
        <v>1590.7278236895932</v>
      </c>
      <c r="O49" s="20"/>
      <c r="P49" s="20"/>
      <c r="Q49" s="20"/>
      <c r="R49" s="20"/>
      <c r="S49" s="20"/>
      <c r="T49" s="20"/>
      <c r="U49" s="45"/>
      <c r="V49" s="20">
        <f t="shared" si="6"/>
        <v>1590.7278236895932</v>
      </c>
    </row>
    <row r="50" spans="3:23" ht="26.4" x14ac:dyDescent="0.3">
      <c r="C50" s="82"/>
      <c r="D50" s="77" t="s">
        <v>132</v>
      </c>
      <c r="E50" s="20" t="s">
        <v>22</v>
      </c>
      <c r="F50" s="20"/>
      <c r="G50" s="20"/>
      <c r="H50" s="20"/>
      <c r="I50" s="20">
        <v>341.29347680492879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20">
        <f t="shared" si="6"/>
        <v>341.29347680492879</v>
      </c>
    </row>
    <row r="51" spans="3:23" x14ac:dyDescent="0.3">
      <c r="C51" s="82"/>
      <c r="D51" s="19" t="s">
        <v>57</v>
      </c>
      <c r="E51" s="20"/>
      <c r="F51" s="20"/>
      <c r="G51" s="20"/>
      <c r="H51" s="20">
        <v>100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100</v>
      </c>
    </row>
    <row r="52" spans="3:23" ht="26.4" x14ac:dyDescent="0.3">
      <c r="C52" s="82"/>
      <c r="D52" s="77" t="s">
        <v>133</v>
      </c>
      <c r="E52" s="20"/>
      <c r="F52" s="20"/>
      <c r="G52" s="20"/>
      <c r="H52" s="20"/>
      <c r="I52" s="20"/>
      <c r="J52" s="20">
        <f>6.16*712</f>
        <v>4385.92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45"/>
      <c r="V52" s="20">
        <f t="shared" si="6"/>
        <v>4385.92</v>
      </c>
    </row>
    <row r="53" spans="3:23" x14ac:dyDescent="0.3">
      <c r="C53" s="82"/>
      <c r="D53" s="19" t="s">
        <v>67</v>
      </c>
      <c r="E53" s="20"/>
      <c r="F53" s="20"/>
      <c r="G53" s="20"/>
      <c r="H53" s="20"/>
      <c r="I53" s="20">
        <v>1087</v>
      </c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45"/>
      <c r="V53" s="20">
        <f t="shared" si="6"/>
        <v>1087</v>
      </c>
    </row>
    <row r="54" spans="3:23" x14ac:dyDescent="0.3">
      <c r="C54" s="82"/>
      <c r="D54" s="53" t="s">
        <v>161</v>
      </c>
      <c r="E54" s="39"/>
      <c r="F54" s="39"/>
      <c r="G54" s="39"/>
      <c r="H54" s="39"/>
      <c r="I54" s="39">
        <v>200</v>
      </c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V54" s="39">
        <f t="shared" si="6"/>
        <v>200</v>
      </c>
      <c r="W54" s="33"/>
    </row>
    <row r="55" spans="3:23" x14ac:dyDescent="0.3">
      <c r="C55" s="82"/>
      <c r="D55" s="19" t="s">
        <v>155</v>
      </c>
      <c r="E55" s="20"/>
      <c r="F55" s="20"/>
      <c r="G55" s="20"/>
      <c r="H55" s="20"/>
      <c r="I55" s="20">
        <v>408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20">
        <f t="shared" si="6"/>
        <v>408</v>
      </c>
    </row>
    <row r="56" spans="3:23" x14ac:dyDescent="0.3">
      <c r="C56" s="82"/>
      <c r="D56" s="19" t="s">
        <v>156</v>
      </c>
      <c r="E56" s="20"/>
      <c r="F56" s="20"/>
      <c r="G56" s="20"/>
      <c r="H56" s="20"/>
      <c r="I56" s="20">
        <v>226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226</v>
      </c>
    </row>
    <row r="57" spans="3:23" ht="13.95" customHeight="1" x14ac:dyDescent="0.3">
      <c r="C57" s="82"/>
      <c r="D57" s="19" t="s">
        <v>157</v>
      </c>
      <c r="E57" s="20"/>
      <c r="F57" s="20"/>
      <c r="G57" s="20"/>
      <c r="H57" s="20">
        <v>489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489</v>
      </c>
    </row>
    <row r="58" spans="3:23" x14ac:dyDescent="0.3">
      <c r="C58" s="82"/>
      <c r="D58" s="19" t="s">
        <v>158</v>
      </c>
      <c r="E58" s="20"/>
      <c r="F58" s="20"/>
      <c r="G58" s="20"/>
      <c r="H58" s="20">
        <v>226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226</v>
      </c>
    </row>
    <row r="59" spans="3:23" x14ac:dyDescent="0.3">
      <c r="C59" s="82"/>
      <c r="D59" s="19" t="s">
        <v>159</v>
      </c>
      <c r="E59" s="20"/>
      <c r="F59" s="20"/>
      <c r="G59" s="20"/>
      <c r="H59" s="20">
        <v>226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226</v>
      </c>
    </row>
    <row r="60" spans="3:23" x14ac:dyDescent="0.3">
      <c r="C60" s="82"/>
      <c r="D60" s="19" t="s">
        <v>25</v>
      </c>
      <c r="E60" s="20"/>
      <c r="F60" s="20">
        <v>3500</v>
      </c>
      <c r="G60" s="20">
        <v>3500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45"/>
      <c r="V60" s="20">
        <f t="shared" si="6"/>
        <v>7000</v>
      </c>
    </row>
    <row r="61" spans="3:23" x14ac:dyDescent="0.3">
      <c r="C61" s="82"/>
      <c r="D61" s="19" t="s">
        <v>147</v>
      </c>
      <c r="E61" s="52"/>
      <c r="F61" s="20"/>
      <c r="G61" s="20"/>
      <c r="H61" s="20">
        <v>5250</v>
      </c>
      <c r="I61" s="20">
        <f>+H61</f>
        <v>5250</v>
      </c>
      <c r="J61" s="20">
        <f t="shared" ref="J61:T61" si="7">+I61</f>
        <v>5250</v>
      </c>
      <c r="K61" s="20">
        <f t="shared" si="7"/>
        <v>5250</v>
      </c>
      <c r="L61" s="20">
        <f t="shared" si="7"/>
        <v>5250</v>
      </c>
      <c r="M61" s="20">
        <f t="shared" si="7"/>
        <v>5250</v>
      </c>
      <c r="N61" s="20">
        <f t="shared" si="7"/>
        <v>5250</v>
      </c>
      <c r="O61" s="20">
        <f t="shared" si="7"/>
        <v>5250</v>
      </c>
      <c r="P61" s="20">
        <f t="shared" si="7"/>
        <v>5250</v>
      </c>
      <c r="Q61" s="20">
        <f t="shared" si="7"/>
        <v>5250</v>
      </c>
      <c r="R61" s="20">
        <f t="shared" si="7"/>
        <v>5250</v>
      </c>
      <c r="S61" s="20">
        <f t="shared" si="7"/>
        <v>5250</v>
      </c>
      <c r="T61" s="20">
        <f t="shared" si="7"/>
        <v>5250</v>
      </c>
      <c r="U61" s="45"/>
      <c r="V61" s="20">
        <f t="shared" si="6"/>
        <v>68250</v>
      </c>
    </row>
    <row r="62" spans="3:23" x14ac:dyDescent="0.3">
      <c r="C62" s="83"/>
      <c r="D62" s="50" t="s">
        <v>19</v>
      </c>
      <c r="E62" s="51">
        <v>0</v>
      </c>
      <c r="F62" s="51">
        <f t="shared" ref="F62:T62" si="8">+SUM(F36:F61)</f>
        <v>3830</v>
      </c>
      <c r="G62" s="51">
        <f t="shared" si="8"/>
        <v>3750</v>
      </c>
      <c r="H62" s="51">
        <f t="shared" si="8"/>
        <v>11352.594202898552</v>
      </c>
      <c r="I62" s="51">
        <f t="shared" si="8"/>
        <v>7762.293476804929</v>
      </c>
      <c r="J62" s="51">
        <f t="shared" si="8"/>
        <v>9885.92</v>
      </c>
      <c r="K62" s="51">
        <f t="shared" si="8"/>
        <v>6784.7947392070291</v>
      </c>
      <c r="L62" s="51">
        <f t="shared" si="8"/>
        <v>5500</v>
      </c>
      <c r="M62" s="51">
        <f t="shared" si="8"/>
        <v>5500</v>
      </c>
      <c r="N62" s="51">
        <f t="shared" si="8"/>
        <v>10985.231148868928</v>
      </c>
      <c r="O62" s="51">
        <f t="shared" si="8"/>
        <v>6258.2509532606909</v>
      </c>
      <c r="P62" s="51">
        <f t="shared" si="8"/>
        <v>6405.1402440000265</v>
      </c>
      <c r="Q62" s="51">
        <f t="shared" si="8"/>
        <v>9020.1</v>
      </c>
      <c r="R62" s="51">
        <f t="shared" si="8"/>
        <v>5500</v>
      </c>
      <c r="S62" s="51">
        <f t="shared" si="8"/>
        <v>5500</v>
      </c>
      <c r="T62" s="51">
        <f t="shared" si="8"/>
        <v>5500</v>
      </c>
      <c r="U62" s="45"/>
      <c r="V62" s="51">
        <f>+SUM(F62:T62)</f>
        <v>103534.32476504016</v>
      </c>
    </row>
    <row r="63" spans="3:23" x14ac:dyDescent="0.3">
      <c r="C63" s="81" t="s">
        <v>8</v>
      </c>
      <c r="D63" s="19" t="s">
        <v>58</v>
      </c>
      <c r="E63" s="20"/>
      <c r="F63" s="20"/>
      <c r="G63" s="20"/>
      <c r="H63" s="20">
        <f>61195.9668057236/110*160</f>
        <v>89012.315353779777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45"/>
      <c r="V63" s="20">
        <f>+SUM(F63:T63)</f>
        <v>89012.315353779777</v>
      </c>
    </row>
    <row r="64" spans="3:23" x14ac:dyDescent="0.3">
      <c r="C64" s="82"/>
      <c r="D64" s="19" t="s">
        <v>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>
        <v>350</v>
      </c>
      <c r="R64" s="20"/>
      <c r="S64" s="20"/>
      <c r="T64" s="20"/>
      <c r="U64" s="45"/>
      <c r="V64" s="20">
        <f>+SUM(F64:T64)</f>
        <v>350</v>
      </c>
    </row>
    <row r="65" spans="3:24" x14ac:dyDescent="0.3">
      <c r="C65" s="83"/>
      <c r="D65" s="50" t="s">
        <v>20</v>
      </c>
      <c r="E65" s="51">
        <v>0</v>
      </c>
      <c r="F65" s="51">
        <f t="shared" ref="F65:V65" si="9">+SUM(F63:F64)</f>
        <v>0</v>
      </c>
      <c r="G65" s="51">
        <f t="shared" si="9"/>
        <v>0</v>
      </c>
      <c r="H65" s="51">
        <f t="shared" si="9"/>
        <v>89012.315353779777</v>
      </c>
      <c r="I65" s="51">
        <f t="shared" si="9"/>
        <v>0</v>
      </c>
      <c r="J65" s="51">
        <f t="shared" si="9"/>
        <v>0</v>
      </c>
      <c r="K65" s="51">
        <f t="shared" si="9"/>
        <v>0</v>
      </c>
      <c r="L65" s="51">
        <f t="shared" si="9"/>
        <v>0</v>
      </c>
      <c r="M65" s="51">
        <f t="shared" si="9"/>
        <v>0</v>
      </c>
      <c r="N65" s="51">
        <f t="shared" si="9"/>
        <v>0</v>
      </c>
      <c r="O65" s="51">
        <f t="shared" si="9"/>
        <v>0</v>
      </c>
      <c r="P65" s="51">
        <f t="shared" si="9"/>
        <v>0</v>
      </c>
      <c r="Q65" s="51">
        <f t="shared" si="9"/>
        <v>350</v>
      </c>
      <c r="R65" s="51">
        <f t="shared" si="9"/>
        <v>0</v>
      </c>
      <c r="S65" s="51">
        <f t="shared" si="9"/>
        <v>0</v>
      </c>
      <c r="T65" s="51">
        <f t="shared" si="9"/>
        <v>0</v>
      </c>
      <c r="U65" s="51">
        <f t="shared" si="9"/>
        <v>0</v>
      </c>
      <c r="V65" s="51">
        <f t="shared" si="9"/>
        <v>89362.315353779777</v>
      </c>
    </row>
    <row r="66" spans="3:24" x14ac:dyDescent="0.3">
      <c r="C66" s="48"/>
      <c r="D66" s="53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45"/>
      <c r="V66" s="39"/>
    </row>
    <row r="67" spans="3:24" x14ac:dyDescent="0.3">
      <c r="C67" s="54"/>
      <c r="D67" s="54" t="s">
        <v>10</v>
      </c>
      <c r="E67" s="55">
        <v>0</v>
      </c>
      <c r="F67" s="55">
        <f t="shared" ref="F67:T67" si="10">+F65+F62+F35+F18</f>
        <v>9430</v>
      </c>
      <c r="G67" s="55">
        <f t="shared" si="10"/>
        <v>11127</v>
      </c>
      <c r="H67" s="55">
        <f t="shared" si="10"/>
        <v>107690.90955667832</v>
      </c>
      <c r="I67" s="55">
        <f t="shared" si="10"/>
        <v>14762.293476804929</v>
      </c>
      <c r="J67" s="55">
        <f t="shared" si="10"/>
        <v>16885.919999999998</v>
      </c>
      <c r="K67" s="55">
        <f t="shared" si="10"/>
        <v>18374.794739207027</v>
      </c>
      <c r="L67" s="55">
        <f t="shared" si="10"/>
        <v>18375.2</v>
      </c>
      <c r="M67" s="55">
        <f t="shared" si="10"/>
        <v>19786.523883052643</v>
      </c>
      <c r="N67" s="55">
        <f t="shared" si="10"/>
        <v>34344.330487499668</v>
      </c>
      <c r="O67" s="55">
        <f t="shared" si="10"/>
        <v>13258.250953260691</v>
      </c>
      <c r="P67" s="55">
        <f t="shared" si="10"/>
        <v>15366.140244000027</v>
      </c>
      <c r="Q67" s="55">
        <f t="shared" si="10"/>
        <v>16370.1</v>
      </c>
      <c r="R67" s="55">
        <f t="shared" si="10"/>
        <v>16740</v>
      </c>
      <c r="S67" s="55">
        <f t="shared" si="10"/>
        <v>19084.64</v>
      </c>
      <c r="T67" s="55">
        <f t="shared" si="10"/>
        <v>12500</v>
      </c>
      <c r="U67" s="45"/>
      <c r="V67" s="55">
        <f>+V65+V62+V35+V18</f>
        <v>344096.10334050335</v>
      </c>
      <c r="W67" s="56"/>
      <c r="X67" s="56"/>
    </row>
    <row r="68" spans="3:24" x14ac:dyDescent="0.3"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56"/>
      <c r="X68" s="80"/>
    </row>
    <row r="69" spans="3:24" x14ac:dyDescent="0.3">
      <c r="C69" s="61" t="s">
        <v>37</v>
      </c>
      <c r="D69" s="62" t="s">
        <v>113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</row>
    <row r="70" spans="3:24" x14ac:dyDescent="0.3">
      <c r="C70" s="45"/>
      <c r="D70" s="62" t="s">
        <v>145</v>
      </c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</row>
    <row r="71" spans="3:24" x14ac:dyDescent="0.3">
      <c r="C71" s="45"/>
      <c r="D71" s="62" t="s">
        <v>146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</row>
    <row r="72" spans="3:24" x14ac:dyDescent="0.3">
      <c r="C72" s="45"/>
      <c r="D72" s="62" t="s">
        <v>148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</row>
    <row r="73" spans="3:24" x14ac:dyDescent="0.3">
      <c r="C73" s="45"/>
      <c r="D73" s="62" t="s">
        <v>162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4" ht="14.4" x14ac:dyDescent="0.3">
      <c r="C74" s="45"/>
      <c r="D74" s="45"/>
      <c r="E74" s="45"/>
      <c r="F74" s="45"/>
      <c r="G74" s="45"/>
      <c r="H74" s="45"/>
      <c r="I74" s="45"/>
      <c r="J74" s="45"/>
      <c r="K74" s="78"/>
      <c r="L74" s="78"/>
      <c r="M74" s="78"/>
      <c r="N74" s="78"/>
      <c r="O74" s="78"/>
      <c r="P74" s="78"/>
      <c r="Q74" s="45"/>
      <c r="R74" s="45"/>
      <c r="S74" s="45"/>
      <c r="T74" s="45"/>
      <c r="U74" s="45"/>
      <c r="V74" s="45"/>
    </row>
    <row r="75" spans="3:24" ht="14.4" x14ac:dyDescent="0.3">
      <c r="C75" s="45"/>
      <c r="D75" s="45"/>
      <c r="E75" s="45"/>
      <c r="F75" s="45"/>
      <c r="G75" s="45"/>
      <c r="H75" s="45"/>
      <c r="I75" s="45"/>
      <c r="J75" s="45"/>
      <c r="K75" s="78"/>
      <c r="L75" s="78"/>
      <c r="M75" s="78"/>
      <c r="N75" s="78"/>
      <c r="O75" s="78"/>
      <c r="P75" s="78"/>
      <c r="Q75" s="45"/>
      <c r="R75" s="45"/>
      <c r="S75" s="45"/>
      <c r="T75" s="45"/>
      <c r="U75" s="45"/>
      <c r="V75" s="45"/>
    </row>
    <row r="76" spans="3:24" ht="14.4" x14ac:dyDescent="0.3">
      <c r="C76" s="45"/>
      <c r="D76" s="45"/>
      <c r="E76" s="45"/>
      <c r="F76" s="45"/>
      <c r="G76" s="45"/>
      <c r="H76" s="45"/>
      <c r="I76" s="45"/>
      <c r="J76" s="45"/>
      <c r="K76" s="78"/>
      <c r="L76" s="78"/>
      <c r="M76" s="78"/>
      <c r="N76" s="78"/>
      <c r="O76" s="78"/>
      <c r="P76" s="78"/>
      <c r="Q76" s="45"/>
      <c r="R76" s="45"/>
      <c r="S76" s="45"/>
      <c r="T76" s="45"/>
      <c r="U76" s="45"/>
      <c r="V76" s="45"/>
    </row>
    <row r="77" spans="3:24" ht="14.4" x14ac:dyDescent="0.3">
      <c r="C77" s="45" t="s">
        <v>163</v>
      </c>
      <c r="D77" s="45"/>
      <c r="E77" s="45"/>
      <c r="F77" s="45"/>
      <c r="G77" s="45"/>
      <c r="H77" s="45"/>
      <c r="I77" s="45"/>
      <c r="J77" s="45"/>
      <c r="K77" s="78"/>
      <c r="L77" s="78"/>
      <c r="M77" s="78"/>
      <c r="N77" s="78"/>
      <c r="O77" s="78"/>
      <c r="P77" s="78"/>
      <c r="Q77" s="45"/>
      <c r="R77" s="45"/>
      <c r="S77" s="45"/>
      <c r="T77" s="45"/>
      <c r="U77" s="45"/>
      <c r="V77" s="45"/>
    </row>
    <row r="79" spans="3:24" x14ac:dyDescent="0.3">
      <c r="J79" s="56"/>
    </row>
    <row r="81" spans="6:13" x14ac:dyDescent="0.3">
      <c r="F81" s="56">
        <f>+F67</f>
        <v>9430</v>
      </c>
      <c r="G81" s="56">
        <f>+G67</f>
        <v>11127</v>
      </c>
      <c r="H81" s="56">
        <f>+H67</f>
        <v>107690.90955667832</v>
      </c>
      <c r="I81" s="56">
        <f>+I67</f>
        <v>14762.293476804929</v>
      </c>
      <c r="J81" s="56">
        <f>+J67</f>
        <v>16885.919999999998</v>
      </c>
      <c r="K81" s="56"/>
      <c r="L81" s="56"/>
      <c r="M81" s="56"/>
    </row>
    <row r="82" spans="6:13" x14ac:dyDescent="0.3">
      <c r="F82" s="56">
        <f>+F33+F34</f>
        <v>5600</v>
      </c>
      <c r="G82" s="56">
        <f>+G33+G34</f>
        <v>5600</v>
      </c>
      <c r="H82" s="56">
        <f>+H33+H34</f>
        <v>7000</v>
      </c>
      <c r="I82" s="56">
        <f>+I33+I34</f>
        <v>7000</v>
      </c>
      <c r="J82" s="56">
        <f>+J33+J34</f>
        <v>7000</v>
      </c>
      <c r="K82" s="56"/>
      <c r="L82" s="56"/>
      <c r="M82" s="56"/>
    </row>
    <row r="83" spans="6:13" ht="13.8" thickBot="1" x14ac:dyDescent="0.35">
      <c r="F83" s="56">
        <f>+F60+F61</f>
        <v>3500</v>
      </c>
      <c r="G83" s="56">
        <f>+G60+G61</f>
        <v>3500</v>
      </c>
      <c r="H83" s="56">
        <f>+H60+H61</f>
        <v>5250</v>
      </c>
      <c r="I83" s="56">
        <f>+I60+I61</f>
        <v>5250</v>
      </c>
      <c r="J83" s="56">
        <f>+J60+J61</f>
        <v>5250</v>
      </c>
      <c r="K83" s="56"/>
      <c r="L83" s="56"/>
      <c r="M83" s="56"/>
    </row>
    <row r="84" spans="6:13" x14ac:dyDescent="0.3">
      <c r="F84" s="71">
        <f>+F82+F83</f>
        <v>9100</v>
      </c>
      <c r="G84" s="72">
        <f t="shared" ref="G84:J84" si="11">+G82+G83</f>
        <v>9100</v>
      </c>
      <c r="H84" s="72">
        <f t="shared" si="11"/>
        <v>12250</v>
      </c>
      <c r="I84" s="72">
        <f t="shared" si="11"/>
        <v>12250</v>
      </c>
      <c r="J84" s="73">
        <f t="shared" si="11"/>
        <v>12250</v>
      </c>
      <c r="K84" s="56" t="s">
        <v>124</v>
      </c>
      <c r="L84" s="56"/>
      <c r="M84" s="56"/>
    </row>
    <row r="85" spans="6:13" ht="13.8" thickBot="1" x14ac:dyDescent="0.35">
      <c r="F85" s="74">
        <f>+F81-F84</f>
        <v>330</v>
      </c>
      <c r="G85" s="75">
        <f t="shared" ref="G85:J85" si="12">+G81-G84</f>
        <v>2027</v>
      </c>
      <c r="H85" s="75">
        <f t="shared" si="12"/>
        <v>95440.909556678322</v>
      </c>
      <c r="I85" s="75">
        <f t="shared" si="12"/>
        <v>2512.293476804929</v>
      </c>
      <c r="J85" s="76">
        <f t="shared" si="12"/>
        <v>4635.9199999999983</v>
      </c>
      <c r="K85" s="56" t="s">
        <v>125</v>
      </c>
      <c r="L85" s="56"/>
      <c r="M85" s="56"/>
    </row>
    <row r="87" spans="6:13" x14ac:dyDescent="0.3">
      <c r="F87" s="42">
        <v>50898</v>
      </c>
      <c r="G87" s="42">
        <v>51679</v>
      </c>
      <c r="H87" s="42">
        <v>52459</v>
      </c>
      <c r="I87" s="42">
        <v>53238</v>
      </c>
      <c r="J87" s="42">
        <v>54017</v>
      </c>
    </row>
    <row r="88" spans="6:13" x14ac:dyDescent="0.3">
      <c r="F88" s="57">
        <f>+F67/F87</f>
        <v>0.18527250579590554</v>
      </c>
      <c r="G88" s="57">
        <f>+G67/G87</f>
        <v>0.21530989376729426</v>
      </c>
      <c r="H88" s="57">
        <f>+H67/H87</f>
        <v>2.0528586049424944</v>
      </c>
      <c r="I88" s="57">
        <f>+I67/I87</f>
        <v>0.27728865616298376</v>
      </c>
      <c r="J88" s="57">
        <f>+J67/J87</f>
        <v>0.31260380991169445</v>
      </c>
    </row>
  </sheetData>
  <mergeCells count="8">
    <mergeCell ref="V8:V9"/>
    <mergeCell ref="C10:C18"/>
    <mergeCell ref="C19:C35"/>
    <mergeCell ref="C36:C62"/>
    <mergeCell ref="C63:C65"/>
    <mergeCell ref="C8:C9"/>
    <mergeCell ref="D8:D9"/>
    <mergeCell ref="E8:T8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88EA0-B24A-4C5E-BA00-2806F4B8627B}">
  <sheetPr>
    <pageSetUpPr fitToPage="1"/>
  </sheetPr>
  <dimension ref="C1:X92"/>
  <sheetViews>
    <sheetView topLeftCell="A53" zoomScaleNormal="100" workbookViewId="0">
      <selection activeCell="D65" sqref="D65:V68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77734375" style="42" bestFit="1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ht="17.399999999999999" customHeight="1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2" t="s">
        <v>6</v>
      </c>
      <c r="D19" s="19" t="s">
        <v>33</v>
      </c>
      <c r="E19" s="20"/>
      <c r="F19" s="20"/>
      <c r="G19" s="20">
        <v>600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 t="shared" ref="V19:V34" si="2">+SUM(F19:T19)</f>
        <v>600</v>
      </c>
    </row>
    <row r="20" spans="3:22" x14ac:dyDescent="0.3">
      <c r="C20" s="82"/>
      <c r="D20" s="19" t="s">
        <v>151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/>
    </row>
    <row r="21" spans="3:22" ht="26.4" x14ac:dyDescent="0.3">
      <c r="C21" s="82"/>
      <c r="D21" s="77" t="s">
        <v>137</v>
      </c>
      <c r="E21" s="20"/>
      <c r="F21" s="20"/>
      <c r="G21" s="20"/>
      <c r="H21" s="20"/>
      <c r="I21" s="20"/>
      <c r="J21" s="20"/>
      <c r="K21" s="20">
        <f>4.59*1000</f>
        <v>4590</v>
      </c>
      <c r="L21" s="20"/>
      <c r="M21" s="20"/>
      <c r="N21" s="20"/>
      <c r="O21" s="20"/>
      <c r="P21" s="20"/>
      <c r="Q21" s="20"/>
      <c r="R21" s="20"/>
      <c r="S21" s="20"/>
      <c r="T21" s="20"/>
      <c r="U21" s="45"/>
      <c r="V21" s="20">
        <f t="shared" si="2"/>
        <v>4590</v>
      </c>
    </row>
    <row r="22" spans="3:22" ht="26.4" x14ac:dyDescent="0.3">
      <c r="C22" s="82"/>
      <c r="D22" s="77" t="s">
        <v>160</v>
      </c>
      <c r="E22" s="20"/>
      <c r="F22" s="20"/>
      <c r="G22" s="20"/>
      <c r="H22" s="20"/>
      <c r="I22" s="20"/>
      <c r="J22" s="20"/>
      <c r="K22" s="20"/>
      <c r="L22" s="20">
        <f>4.59*710</f>
        <v>3258.9</v>
      </c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3258.9</v>
      </c>
    </row>
    <row r="23" spans="3:22" ht="26.4" x14ac:dyDescent="0.3">
      <c r="C23" s="82"/>
      <c r="D23" s="77" t="s">
        <v>138</v>
      </c>
      <c r="E23" s="20"/>
      <c r="F23" s="20"/>
      <c r="G23" s="20"/>
      <c r="H23" s="20"/>
      <c r="I23" s="20"/>
      <c r="J23" s="20"/>
      <c r="K23" s="20"/>
      <c r="L23" s="20">
        <f>240*4.59</f>
        <v>1101.5999999999999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1101.5999999999999</v>
      </c>
    </row>
    <row r="24" spans="3:22" ht="26.4" x14ac:dyDescent="0.3">
      <c r="C24" s="82"/>
      <c r="D24" s="77" t="s">
        <v>139</v>
      </c>
      <c r="E24" s="20"/>
      <c r="F24" s="20"/>
      <c r="G24" s="20"/>
      <c r="H24" s="20"/>
      <c r="I24" s="20"/>
      <c r="J24" s="20"/>
      <c r="K24" s="20"/>
      <c r="L24" s="20">
        <f>330*4.59</f>
        <v>1514.7</v>
      </c>
      <c r="M24" s="20"/>
      <c r="N24" s="20"/>
      <c r="O24" s="20"/>
      <c r="P24" s="20"/>
      <c r="Q24" s="20"/>
      <c r="R24" s="20"/>
      <c r="S24" s="20"/>
      <c r="T24" s="20"/>
      <c r="U24" s="45"/>
      <c r="V24" s="20">
        <f t="shared" si="2"/>
        <v>1514.7</v>
      </c>
    </row>
    <row r="25" spans="3:22" ht="26.4" x14ac:dyDescent="0.3">
      <c r="C25" s="82"/>
      <c r="D25" s="77" t="s">
        <v>140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f>5.3*370</f>
        <v>1961</v>
      </c>
      <c r="Q25" s="20"/>
      <c r="R25" s="20"/>
      <c r="S25" s="20"/>
      <c r="T25" s="20"/>
      <c r="U25" s="45"/>
      <c r="V25" s="20">
        <f t="shared" si="2"/>
        <v>1961</v>
      </c>
    </row>
    <row r="26" spans="3:22" ht="26.4" x14ac:dyDescent="0.3">
      <c r="C26" s="82"/>
      <c r="D26" s="77" t="s">
        <v>150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>
        <f>5.3*800</f>
        <v>4240</v>
      </c>
      <c r="S26" s="20"/>
      <c r="T26" s="20"/>
      <c r="U26" s="45"/>
      <c r="V26" s="20">
        <f t="shared" si="2"/>
        <v>4240</v>
      </c>
    </row>
    <row r="27" spans="3:22" ht="26.4" x14ac:dyDescent="0.3">
      <c r="C27" s="82"/>
      <c r="D27" s="77" t="s">
        <v>141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>
        <f>520*4.59</f>
        <v>2386.7999999999997</v>
      </c>
      <c r="T27" s="20"/>
      <c r="U27" s="45"/>
      <c r="V27" s="20">
        <f t="shared" si="2"/>
        <v>2386.7999999999997</v>
      </c>
    </row>
    <row r="28" spans="3:22" ht="26.4" x14ac:dyDescent="0.3">
      <c r="C28" s="82"/>
      <c r="D28" s="77" t="s">
        <v>142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3.22*111</f>
        <v>357.42</v>
      </c>
      <c r="T28" s="20"/>
      <c r="U28" s="45"/>
      <c r="V28" s="20">
        <f t="shared" si="2"/>
        <v>357.42</v>
      </c>
    </row>
    <row r="29" spans="3:22" ht="26.4" x14ac:dyDescent="0.3">
      <c r="C29" s="82"/>
      <c r="D29" s="77" t="s">
        <v>143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3.22*124</f>
        <v>399.28000000000003</v>
      </c>
      <c r="T29" s="20"/>
      <c r="U29" s="45"/>
      <c r="V29" s="20">
        <f t="shared" si="2"/>
        <v>399.28000000000003</v>
      </c>
    </row>
    <row r="30" spans="3:22" ht="26.4" x14ac:dyDescent="0.3">
      <c r="C30" s="82"/>
      <c r="D30" s="77" t="s">
        <v>144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f>137*3.22</f>
        <v>441.14000000000004</v>
      </c>
      <c r="T30" s="20"/>
      <c r="U30" s="45"/>
      <c r="V30" s="20">
        <f t="shared" si="2"/>
        <v>441.14000000000004</v>
      </c>
    </row>
    <row r="31" spans="3:22" x14ac:dyDescent="0.3">
      <c r="C31" s="82"/>
      <c r="D31" s="19" t="s">
        <v>153</v>
      </c>
      <c r="E31" s="20"/>
      <c r="F31" s="20"/>
      <c r="G31" s="20"/>
      <c r="H31" s="20">
        <v>326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45"/>
      <c r="V31" s="20">
        <f t="shared" si="2"/>
        <v>326</v>
      </c>
    </row>
    <row r="32" spans="3:22" x14ac:dyDescent="0.3">
      <c r="C32" s="82"/>
      <c r="D32" s="19" t="s">
        <v>94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>
        <v>3000</v>
      </c>
      <c r="T32" s="20"/>
      <c r="U32" s="45"/>
      <c r="V32" s="20">
        <f t="shared" si="2"/>
        <v>3000</v>
      </c>
    </row>
    <row r="33" spans="3:22" x14ac:dyDescent="0.3">
      <c r="C33" s="82"/>
      <c r="D33" s="19" t="s">
        <v>63</v>
      </c>
      <c r="E33" s="20"/>
      <c r="F33" s="20">
        <v>5600</v>
      </c>
      <c r="G33" s="20">
        <v>5600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45"/>
      <c r="V33" s="20">
        <f t="shared" si="2"/>
        <v>11200</v>
      </c>
    </row>
    <row r="34" spans="3:22" x14ac:dyDescent="0.3">
      <c r="C34" s="82"/>
      <c r="D34" s="19" t="s">
        <v>98</v>
      </c>
      <c r="E34" s="52"/>
      <c r="F34" s="20"/>
      <c r="G34" s="20"/>
      <c r="H34" s="20">
        <v>7000</v>
      </c>
      <c r="I34" s="20">
        <f>+H34</f>
        <v>7000</v>
      </c>
      <c r="J34" s="20">
        <f t="shared" ref="J34:T34" si="3">+I34</f>
        <v>7000</v>
      </c>
      <c r="K34" s="20">
        <f t="shared" si="3"/>
        <v>7000</v>
      </c>
      <c r="L34" s="20">
        <f t="shared" si="3"/>
        <v>7000</v>
      </c>
      <c r="M34" s="20">
        <f t="shared" si="3"/>
        <v>7000</v>
      </c>
      <c r="N34" s="20">
        <f t="shared" si="3"/>
        <v>7000</v>
      </c>
      <c r="O34" s="20">
        <f t="shared" si="3"/>
        <v>7000</v>
      </c>
      <c r="P34" s="20">
        <f t="shared" si="3"/>
        <v>7000</v>
      </c>
      <c r="Q34" s="20">
        <f t="shared" si="3"/>
        <v>7000</v>
      </c>
      <c r="R34" s="20">
        <f t="shared" si="3"/>
        <v>7000</v>
      </c>
      <c r="S34" s="20">
        <f t="shared" si="3"/>
        <v>7000</v>
      </c>
      <c r="T34" s="20">
        <f t="shared" si="3"/>
        <v>7000</v>
      </c>
      <c r="U34" s="45"/>
      <c r="V34" s="20">
        <f t="shared" si="2"/>
        <v>91000</v>
      </c>
    </row>
    <row r="35" spans="3:22" x14ac:dyDescent="0.3">
      <c r="C35" s="83"/>
      <c r="D35" s="50" t="s">
        <v>18</v>
      </c>
      <c r="E35" s="51">
        <v>0</v>
      </c>
      <c r="F35" s="51">
        <f t="shared" ref="F35:T35" si="4">+SUM(F19:F34)</f>
        <v>5600</v>
      </c>
      <c r="G35" s="51">
        <f t="shared" si="4"/>
        <v>6200</v>
      </c>
      <c r="H35" s="51">
        <f t="shared" si="4"/>
        <v>7326</v>
      </c>
      <c r="I35" s="51">
        <f t="shared" si="4"/>
        <v>7000</v>
      </c>
      <c r="J35" s="51">
        <f t="shared" si="4"/>
        <v>7000</v>
      </c>
      <c r="K35" s="51">
        <f t="shared" si="4"/>
        <v>11590</v>
      </c>
      <c r="L35" s="51">
        <f t="shared" si="4"/>
        <v>12875.2</v>
      </c>
      <c r="M35" s="51">
        <f t="shared" si="4"/>
        <v>7000</v>
      </c>
      <c r="N35" s="51">
        <f t="shared" si="4"/>
        <v>7000</v>
      </c>
      <c r="O35" s="51">
        <f t="shared" si="4"/>
        <v>7000</v>
      </c>
      <c r="P35" s="51">
        <f t="shared" si="4"/>
        <v>8961</v>
      </c>
      <c r="Q35" s="51">
        <f t="shared" si="4"/>
        <v>7000</v>
      </c>
      <c r="R35" s="51">
        <f t="shared" si="4"/>
        <v>11240</v>
      </c>
      <c r="S35" s="51">
        <f t="shared" si="4"/>
        <v>13584.64</v>
      </c>
      <c r="T35" s="51">
        <f t="shared" si="4"/>
        <v>7000</v>
      </c>
      <c r="U35" s="45"/>
      <c r="V35" s="51">
        <f>+SUM(F35:T35)</f>
        <v>126376.84</v>
      </c>
    </row>
    <row r="36" spans="3:22" ht="26.4" x14ac:dyDescent="0.3">
      <c r="C36" s="81" t="s">
        <v>7</v>
      </c>
      <c r="D36" s="79" t="s">
        <v>154</v>
      </c>
      <c r="E36" s="20"/>
      <c r="F36" s="20"/>
      <c r="G36" s="20">
        <v>250</v>
      </c>
      <c r="H36" s="20">
        <f>+G36</f>
        <v>250</v>
      </c>
      <c r="I36" s="20">
        <f t="shared" ref="I36:T36" si="5">+H36</f>
        <v>250</v>
      </c>
      <c r="J36" s="20">
        <f t="shared" si="5"/>
        <v>250</v>
      </c>
      <c r="K36" s="20">
        <f t="shared" si="5"/>
        <v>250</v>
      </c>
      <c r="L36" s="20">
        <f t="shared" si="5"/>
        <v>250</v>
      </c>
      <c r="M36" s="20">
        <f t="shared" si="5"/>
        <v>250</v>
      </c>
      <c r="N36" s="20">
        <f t="shared" si="5"/>
        <v>250</v>
      </c>
      <c r="O36" s="20">
        <f t="shared" si="5"/>
        <v>250</v>
      </c>
      <c r="P36" s="20">
        <f t="shared" si="5"/>
        <v>250</v>
      </c>
      <c r="Q36" s="20">
        <f t="shared" si="5"/>
        <v>250</v>
      </c>
      <c r="R36" s="20">
        <f t="shared" si="5"/>
        <v>250</v>
      </c>
      <c r="S36" s="20">
        <f t="shared" si="5"/>
        <v>250</v>
      </c>
      <c r="T36" s="20">
        <f t="shared" si="5"/>
        <v>250</v>
      </c>
      <c r="U36" s="45"/>
      <c r="V36" s="20">
        <f>+SUM(F36:T36)</f>
        <v>3500</v>
      </c>
    </row>
    <row r="37" spans="3:22" x14ac:dyDescent="0.3">
      <c r="C37" s="82"/>
      <c r="D37" s="19" t="s">
        <v>149</v>
      </c>
      <c r="E37" s="20"/>
      <c r="F37" s="20">
        <v>330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45"/>
      <c r="V37" s="20">
        <f t="shared" ref="V37:V61" si="6">+SUM(F37:T37)</f>
        <v>330</v>
      </c>
    </row>
    <row r="38" spans="3:22" x14ac:dyDescent="0.3">
      <c r="C38" s="82"/>
      <c r="D38" s="19" t="s">
        <v>31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>
        <v>758.25095326069072</v>
      </c>
      <c r="P38" s="20"/>
      <c r="Q38" s="20"/>
      <c r="R38" s="20"/>
      <c r="S38" s="20"/>
      <c r="T38" s="20"/>
      <c r="U38" s="45"/>
      <c r="V38" s="20">
        <f t="shared" si="6"/>
        <v>758.25095326069072</v>
      </c>
    </row>
    <row r="39" spans="3:22" x14ac:dyDescent="0.3">
      <c r="C39" s="82"/>
      <c r="D39" s="19" t="s">
        <v>32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905.14024400002631</v>
      </c>
      <c r="Q39" s="20"/>
      <c r="R39" s="20"/>
      <c r="S39" s="20"/>
      <c r="T39" s="20"/>
      <c r="U39" s="45"/>
      <c r="V39" s="20">
        <f t="shared" si="6"/>
        <v>905.14024400002631</v>
      </c>
    </row>
    <row r="40" spans="3:22" x14ac:dyDescent="0.3">
      <c r="C40" s="82"/>
      <c r="D40" s="19" t="s">
        <v>41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>
        <v>1370.1</v>
      </c>
      <c r="R40" s="20"/>
      <c r="S40" s="20"/>
      <c r="T40" s="20"/>
      <c r="U40" s="45"/>
      <c r="V40" s="20">
        <f t="shared" si="6"/>
        <v>1370.1</v>
      </c>
    </row>
    <row r="41" spans="3:22" x14ac:dyDescent="0.3">
      <c r="C41" s="82"/>
      <c r="D41" s="19" t="s">
        <v>42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1250</v>
      </c>
      <c r="R41" s="20"/>
      <c r="S41" s="20"/>
      <c r="T41" s="20"/>
      <c r="U41" s="45"/>
      <c r="V41" s="20">
        <f t="shared" si="6"/>
        <v>1250</v>
      </c>
    </row>
    <row r="42" spans="3:22" x14ac:dyDescent="0.3">
      <c r="C42" s="82"/>
      <c r="D42" s="19" t="s">
        <v>43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900</v>
      </c>
      <c r="R42" s="20"/>
      <c r="S42" s="20"/>
      <c r="T42" s="20"/>
      <c r="U42" s="45"/>
      <c r="V42" s="20">
        <f t="shared" si="6"/>
        <v>900</v>
      </c>
    </row>
    <row r="43" spans="3:22" x14ac:dyDescent="0.3">
      <c r="C43" s="82"/>
      <c r="D43" s="19" t="s">
        <v>126</v>
      </c>
      <c r="E43" s="20"/>
      <c r="F43" s="20"/>
      <c r="G43" s="20"/>
      <c r="H43" s="20">
        <v>3000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45"/>
      <c r="V43" s="20">
        <f t="shared" si="6"/>
        <v>3000</v>
      </c>
    </row>
    <row r="44" spans="3:22" x14ac:dyDescent="0.3">
      <c r="C44" s="82"/>
      <c r="D44" s="19" t="s">
        <v>152</v>
      </c>
      <c r="E44" s="20"/>
      <c r="F44" s="20"/>
      <c r="G44" s="20"/>
      <c r="H44" s="20">
        <f>100000000/36800/1.5</f>
        <v>1811.5942028985507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45"/>
      <c r="V44" s="20">
        <f t="shared" si="6"/>
        <v>1811.5942028985507</v>
      </c>
    </row>
    <row r="45" spans="3:22" ht="26.4" x14ac:dyDescent="0.3">
      <c r="C45" s="82"/>
      <c r="D45" s="77" t="s">
        <v>127</v>
      </c>
      <c r="E45" s="20" t="s">
        <v>22</v>
      </c>
      <c r="F45" s="20"/>
      <c r="G45" s="20"/>
      <c r="H45" s="20"/>
      <c r="I45" s="20"/>
      <c r="J45" s="20"/>
      <c r="K45" s="20"/>
      <c r="L45" s="20"/>
      <c r="M45" s="20"/>
      <c r="N45" s="20">
        <v>777.55382891905617</v>
      </c>
      <c r="O45" s="20"/>
      <c r="P45" s="20"/>
      <c r="Q45" s="20"/>
      <c r="R45" s="20"/>
      <c r="S45" s="20"/>
      <c r="T45" s="20"/>
      <c r="U45" s="45"/>
      <c r="V45" s="20">
        <f t="shared" si="6"/>
        <v>777.55382891905617</v>
      </c>
    </row>
    <row r="46" spans="3:22" ht="26.4" x14ac:dyDescent="0.3">
      <c r="C46" s="82"/>
      <c r="D46" s="77" t="s">
        <v>128</v>
      </c>
      <c r="E46" s="20" t="s">
        <v>22</v>
      </c>
      <c r="F46" s="20"/>
      <c r="G46" s="20"/>
      <c r="H46" s="20"/>
      <c r="I46" s="20"/>
      <c r="J46" s="20"/>
      <c r="K46" s="20"/>
      <c r="L46" s="20"/>
      <c r="M46" s="20"/>
      <c r="N46" s="20">
        <v>1937.4717074651894</v>
      </c>
      <c r="O46" s="20"/>
      <c r="P46" s="20"/>
      <c r="Q46" s="20"/>
      <c r="R46" s="20"/>
      <c r="S46" s="20"/>
      <c r="T46" s="20"/>
      <c r="U46" s="45"/>
      <c r="V46" s="20">
        <f t="shared" si="6"/>
        <v>1937.4717074651894</v>
      </c>
    </row>
    <row r="47" spans="3:22" ht="26.4" x14ac:dyDescent="0.3">
      <c r="C47" s="82"/>
      <c r="D47" s="77" t="s">
        <v>129</v>
      </c>
      <c r="E47" s="20"/>
      <c r="F47" s="20"/>
      <c r="G47" s="20"/>
      <c r="H47" s="20"/>
      <c r="I47" s="20"/>
      <c r="J47" s="20"/>
      <c r="K47" s="20"/>
      <c r="L47" s="20"/>
      <c r="M47" s="20"/>
      <c r="N47" s="20">
        <v>1179.47778879509</v>
      </c>
      <c r="O47" s="20"/>
      <c r="P47" s="20"/>
      <c r="Q47" s="20"/>
      <c r="R47" s="20"/>
      <c r="S47" s="20"/>
      <c r="T47" s="20"/>
      <c r="U47" s="45"/>
      <c r="V47" s="20">
        <f t="shared" si="6"/>
        <v>1179.47778879509</v>
      </c>
    </row>
    <row r="48" spans="3:22" ht="26.4" x14ac:dyDescent="0.3">
      <c r="C48" s="82"/>
      <c r="D48" s="77" t="s">
        <v>130</v>
      </c>
      <c r="E48" s="20" t="s">
        <v>22</v>
      </c>
      <c r="F48" s="20"/>
      <c r="G48" s="20"/>
      <c r="H48" s="20"/>
      <c r="I48" s="20"/>
      <c r="J48" s="20"/>
      <c r="K48" s="20">
        <v>1284.7947392070291</v>
      </c>
      <c r="L48" s="20"/>
      <c r="M48" s="20"/>
      <c r="N48" s="20"/>
      <c r="O48" s="20"/>
      <c r="P48" s="20"/>
      <c r="Q48" s="20"/>
      <c r="R48" s="20"/>
      <c r="S48" s="20"/>
      <c r="T48" s="20"/>
      <c r="U48" s="45"/>
      <c r="V48" s="20">
        <f t="shared" si="6"/>
        <v>1284.7947392070291</v>
      </c>
    </row>
    <row r="49" spans="3:23" ht="26.4" x14ac:dyDescent="0.3">
      <c r="C49" s="82"/>
      <c r="D49" s="77" t="s">
        <v>131</v>
      </c>
      <c r="E49" s="20" t="s">
        <v>21</v>
      </c>
      <c r="F49" s="20"/>
      <c r="G49" s="20"/>
      <c r="H49" s="20"/>
      <c r="I49" s="20"/>
      <c r="J49" s="20"/>
      <c r="K49" s="20"/>
      <c r="L49" s="20"/>
      <c r="M49" s="20"/>
      <c r="N49" s="20">
        <v>1590.7278236895932</v>
      </c>
      <c r="O49" s="20"/>
      <c r="P49" s="20"/>
      <c r="Q49" s="20"/>
      <c r="R49" s="20"/>
      <c r="S49" s="20"/>
      <c r="T49" s="20"/>
      <c r="U49" s="45"/>
      <c r="V49" s="20">
        <f t="shared" si="6"/>
        <v>1590.7278236895932</v>
      </c>
    </row>
    <row r="50" spans="3:23" ht="26.4" x14ac:dyDescent="0.3">
      <c r="C50" s="82"/>
      <c r="D50" s="77" t="s">
        <v>132</v>
      </c>
      <c r="E50" s="20" t="s">
        <v>22</v>
      </c>
      <c r="F50" s="20"/>
      <c r="G50" s="20"/>
      <c r="H50" s="20"/>
      <c r="I50" s="20">
        <v>341.29347680492879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20">
        <f t="shared" si="6"/>
        <v>341.29347680492879</v>
      </c>
    </row>
    <row r="51" spans="3:23" x14ac:dyDescent="0.3">
      <c r="C51" s="82"/>
      <c r="D51" s="19" t="s">
        <v>57</v>
      </c>
      <c r="E51" s="20"/>
      <c r="F51" s="20"/>
      <c r="G51" s="20"/>
      <c r="H51" s="20">
        <v>100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100</v>
      </c>
    </row>
    <row r="52" spans="3:23" ht="26.4" x14ac:dyDescent="0.3">
      <c r="C52" s="82"/>
      <c r="D52" s="77" t="s">
        <v>133</v>
      </c>
      <c r="E52" s="20"/>
      <c r="F52" s="20"/>
      <c r="G52" s="20"/>
      <c r="H52" s="20"/>
      <c r="I52" s="20"/>
      <c r="J52" s="20">
        <f>6.16*712</f>
        <v>4385.92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45"/>
      <c r="V52" s="20">
        <f t="shared" si="6"/>
        <v>4385.92</v>
      </c>
    </row>
    <row r="53" spans="3:23" x14ac:dyDescent="0.3">
      <c r="C53" s="82"/>
      <c r="D53" s="19" t="s">
        <v>67</v>
      </c>
      <c r="E53" s="20"/>
      <c r="F53" s="20"/>
      <c r="G53" s="20"/>
      <c r="H53" s="20"/>
      <c r="I53" s="20">
        <v>1087</v>
      </c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45"/>
      <c r="V53" s="20">
        <f t="shared" si="6"/>
        <v>1087</v>
      </c>
    </row>
    <row r="54" spans="3:23" x14ac:dyDescent="0.3">
      <c r="C54" s="82"/>
      <c r="D54" s="53" t="s">
        <v>161</v>
      </c>
      <c r="E54" s="39"/>
      <c r="F54" s="39"/>
      <c r="G54" s="39"/>
      <c r="H54" s="39"/>
      <c r="I54" s="39">
        <v>200</v>
      </c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V54" s="39">
        <f t="shared" si="6"/>
        <v>200</v>
      </c>
      <c r="W54" s="33"/>
    </row>
    <row r="55" spans="3:23" x14ac:dyDescent="0.3">
      <c r="C55" s="82"/>
      <c r="D55" s="19" t="s">
        <v>155</v>
      </c>
      <c r="E55" s="20"/>
      <c r="F55" s="20"/>
      <c r="G55" s="20"/>
      <c r="H55" s="20"/>
      <c r="I55" s="20">
        <v>408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20">
        <f t="shared" si="6"/>
        <v>408</v>
      </c>
    </row>
    <row r="56" spans="3:23" x14ac:dyDescent="0.3">
      <c r="C56" s="82"/>
      <c r="D56" s="19" t="s">
        <v>156</v>
      </c>
      <c r="E56" s="20"/>
      <c r="F56" s="20"/>
      <c r="G56" s="20"/>
      <c r="H56" s="20"/>
      <c r="I56" s="20">
        <v>226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226</v>
      </c>
    </row>
    <row r="57" spans="3:23" ht="13.95" customHeight="1" x14ac:dyDescent="0.3">
      <c r="C57" s="82"/>
      <c r="D57" s="19" t="s">
        <v>157</v>
      </c>
      <c r="E57" s="20"/>
      <c r="F57" s="20"/>
      <c r="G57" s="20"/>
      <c r="H57" s="20">
        <v>489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489</v>
      </c>
    </row>
    <row r="58" spans="3:23" x14ac:dyDescent="0.3">
      <c r="C58" s="82"/>
      <c r="D58" s="19" t="s">
        <v>158</v>
      </c>
      <c r="E58" s="20"/>
      <c r="F58" s="20"/>
      <c r="G58" s="20"/>
      <c r="H58" s="20">
        <v>226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226</v>
      </c>
    </row>
    <row r="59" spans="3:23" x14ac:dyDescent="0.3">
      <c r="C59" s="82"/>
      <c r="D59" s="19" t="s">
        <v>159</v>
      </c>
      <c r="E59" s="20"/>
      <c r="F59" s="20"/>
      <c r="G59" s="20"/>
      <c r="H59" s="20">
        <v>226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226</v>
      </c>
    </row>
    <row r="60" spans="3:23" x14ac:dyDescent="0.3">
      <c r="C60" s="82"/>
      <c r="D60" s="19" t="s">
        <v>25</v>
      </c>
      <c r="E60" s="20"/>
      <c r="F60" s="20">
        <v>3500</v>
      </c>
      <c r="G60" s="20">
        <v>3500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45"/>
      <c r="V60" s="20">
        <f t="shared" si="6"/>
        <v>7000</v>
      </c>
    </row>
    <row r="61" spans="3:23" x14ac:dyDescent="0.3">
      <c r="C61" s="82"/>
      <c r="D61" s="19" t="s">
        <v>147</v>
      </c>
      <c r="E61" s="52"/>
      <c r="F61" s="20"/>
      <c r="G61" s="20"/>
      <c r="H61" s="20">
        <v>5250</v>
      </c>
      <c r="I61" s="20">
        <f>+H61</f>
        <v>5250</v>
      </c>
      <c r="J61" s="20">
        <f t="shared" ref="J61:T61" si="7">+I61</f>
        <v>5250</v>
      </c>
      <c r="K61" s="20">
        <f t="shared" si="7"/>
        <v>5250</v>
      </c>
      <c r="L61" s="20">
        <f t="shared" si="7"/>
        <v>5250</v>
      </c>
      <c r="M61" s="20">
        <f t="shared" si="7"/>
        <v>5250</v>
      </c>
      <c r="N61" s="20">
        <f t="shared" si="7"/>
        <v>5250</v>
      </c>
      <c r="O61" s="20">
        <f t="shared" si="7"/>
        <v>5250</v>
      </c>
      <c r="P61" s="20">
        <f t="shared" si="7"/>
        <v>5250</v>
      </c>
      <c r="Q61" s="20">
        <f t="shared" si="7"/>
        <v>5250</v>
      </c>
      <c r="R61" s="20">
        <f t="shared" si="7"/>
        <v>5250</v>
      </c>
      <c r="S61" s="20">
        <f t="shared" si="7"/>
        <v>5250</v>
      </c>
      <c r="T61" s="20">
        <f t="shared" si="7"/>
        <v>5250</v>
      </c>
      <c r="U61" s="45"/>
      <c r="V61" s="20">
        <f t="shared" si="6"/>
        <v>68250</v>
      </c>
    </row>
    <row r="62" spans="3:23" x14ac:dyDescent="0.3">
      <c r="C62" s="83"/>
      <c r="D62" s="50" t="s">
        <v>19</v>
      </c>
      <c r="E62" s="51">
        <v>0</v>
      </c>
      <c r="F62" s="51">
        <f t="shared" ref="F62:T62" si="8">+SUM(F36:F61)</f>
        <v>3830</v>
      </c>
      <c r="G62" s="51">
        <f t="shared" si="8"/>
        <v>3750</v>
      </c>
      <c r="H62" s="51">
        <f t="shared" si="8"/>
        <v>11352.594202898552</v>
      </c>
      <c r="I62" s="51">
        <f t="shared" si="8"/>
        <v>7762.293476804929</v>
      </c>
      <c r="J62" s="51">
        <f t="shared" si="8"/>
        <v>9885.92</v>
      </c>
      <c r="K62" s="51">
        <f t="shared" si="8"/>
        <v>6784.7947392070291</v>
      </c>
      <c r="L62" s="51">
        <f t="shared" si="8"/>
        <v>5500</v>
      </c>
      <c r="M62" s="51">
        <f t="shared" si="8"/>
        <v>5500</v>
      </c>
      <c r="N62" s="51">
        <f t="shared" si="8"/>
        <v>10985.231148868928</v>
      </c>
      <c r="O62" s="51">
        <f t="shared" si="8"/>
        <v>6258.2509532606909</v>
      </c>
      <c r="P62" s="51">
        <f t="shared" si="8"/>
        <v>6405.1402440000265</v>
      </c>
      <c r="Q62" s="51">
        <f t="shared" si="8"/>
        <v>9020.1</v>
      </c>
      <c r="R62" s="51">
        <f t="shared" si="8"/>
        <v>5500</v>
      </c>
      <c r="S62" s="51">
        <f t="shared" si="8"/>
        <v>5500</v>
      </c>
      <c r="T62" s="51">
        <f t="shared" si="8"/>
        <v>5500</v>
      </c>
      <c r="U62" s="45"/>
      <c r="V62" s="51">
        <f>+SUM(F62:T62)</f>
        <v>103534.32476504016</v>
      </c>
    </row>
    <row r="63" spans="3:23" x14ac:dyDescent="0.3">
      <c r="C63" s="81" t="s">
        <v>8</v>
      </c>
      <c r="D63" s="19" t="s">
        <v>58</v>
      </c>
      <c r="E63" s="20"/>
      <c r="F63" s="20"/>
      <c r="G63" s="20"/>
      <c r="H63" s="20">
        <f>61195.9668057236/110*160</f>
        <v>89012.315353779777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45"/>
      <c r="V63" s="20">
        <f>+SUM(F63:T63)</f>
        <v>89012.315353779777</v>
      </c>
    </row>
    <row r="64" spans="3:23" x14ac:dyDescent="0.3">
      <c r="C64" s="82"/>
      <c r="D64" s="19" t="s">
        <v>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>
        <v>350</v>
      </c>
      <c r="R64" s="20"/>
      <c r="S64" s="20"/>
      <c r="T64" s="20"/>
      <c r="U64" s="45"/>
      <c r="V64" s="20">
        <f>+SUM(F64:T64)</f>
        <v>350</v>
      </c>
    </row>
    <row r="65" spans="3:24" x14ac:dyDescent="0.3">
      <c r="C65" s="82"/>
      <c r="D65" s="19" t="s">
        <v>107</v>
      </c>
      <c r="E65" s="20"/>
      <c r="F65" s="20"/>
      <c r="G65" s="20">
        <v>6580</v>
      </c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45"/>
      <c r="V65" s="20">
        <f t="shared" ref="V65:V68" si="9">+SUM(F65:T65)</f>
        <v>6580</v>
      </c>
    </row>
    <row r="66" spans="3:24" x14ac:dyDescent="0.3">
      <c r="C66" s="82"/>
      <c r="D66" s="19" t="s">
        <v>134</v>
      </c>
      <c r="E66" s="20"/>
      <c r="F66" s="20"/>
      <c r="G66" s="20"/>
      <c r="H66" s="20">
        <v>16000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45"/>
      <c r="V66" s="20">
        <f t="shared" si="9"/>
        <v>16000</v>
      </c>
    </row>
    <row r="67" spans="3:24" x14ac:dyDescent="0.3">
      <c r="C67" s="82"/>
      <c r="D67" s="19" t="s">
        <v>136</v>
      </c>
      <c r="E67" s="20"/>
      <c r="F67" s="20"/>
      <c r="G67" s="20"/>
      <c r="H67" s="20">
        <v>10000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45"/>
      <c r="V67" s="20">
        <f t="shared" si="9"/>
        <v>10000</v>
      </c>
    </row>
    <row r="68" spans="3:24" x14ac:dyDescent="0.3">
      <c r="C68" s="82"/>
      <c r="D68" s="19" t="s">
        <v>135</v>
      </c>
      <c r="E68" s="20"/>
      <c r="F68" s="20"/>
      <c r="G68" s="20"/>
      <c r="H68" s="20">
        <v>1000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45"/>
      <c r="V68" s="20">
        <f t="shared" si="9"/>
        <v>1000</v>
      </c>
    </row>
    <row r="69" spans="3:24" x14ac:dyDescent="0.3">
      <c r="C69" s="83"/>
      <c r="D69" s="50" t="s">
        <v>20</v>
      </c>
      <c r="E69" s="51">
        <v>0</v>
      </c>
      <c r="F69" s="51">
        <f>+SUM(F63:F68)</f>
        <v>0</v>
      </c>
      <c r="G69" s="51">
        <f>+SUM(G63:G68)</f>
        <v>6580</v>
      </c>
      <c r="H69" s="51">
        <f t="shared" ref="H69:V69" si="10">+SUM(H63:H68)</f>
        <v>116012.31535377978</v>
      </c>
      <c r="I69" s="51">
        <f t="shared" si="10"/>
        <v>0</v>
      </c>
      <c r="J69" s="51">
        <f t="shared" si="10"/>
        <v>0</v>
      </c>
      <c r="K69" s="51">
        <f t="shared" si="10"/>
        <v>0</v>
      </c>
      <c r="L69" s="51">
        <f t="shared" si="10"/>
        <v>0</v>
      </c>
      <c r="M69" s="51">
        <f t="shared" si="10"/>
        <v>0</v>
      </c>
      <c r="N69" s="51">
        <f t="shared" si="10"/>
        <v>0</v>
      </c>
      <c r="O69" s="51">
        <f t="shared" si="10"/>
        <v>0</v>
      </c>
      <c r="P69" s="51">
        <f t="shared" si="10"/>
        <v>0</v>
      </c>
      <c r="Q69" s="51">
        <f t="shared" si="10"/>
        <v>350</v>
      </c>
      <c r="R69" s="51">
        <f t="shared" si="10"/>
        <v>0</v>
      </c>
      <c r="S69" s="51">
        <f t="shared" si="10"/>
        <v>0</v>
      </c>
      <c r="T69" s="51">
        <f t="shared" si="10"/>
        <v>0</v>
      </c>
      <c r="U69" s="51">
        <f t="shared" si="10"/>
        <v>0</v>
      </c>
      <c r="V69" s="51">
        <f t="shared" si="10"/>
        <v>122942.31535377978</v>
      </c>
    </row>
    <row r="70" spans="3:24" x14ac:dyDescent="0.3">
      <c r="C70" s="48"/>
      <c r="D70" s="53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45"/>
      <c r="V70" s="39"/>
    </row>
    <row r="71" spans="3:24" x14ac:dyDescent="0.3">
      <c r="C71" s="54"/>
      <c r="D71" s="54" t="s">
        <v>10</v>
      </c>
      <c r="E71" s="55">
        <v>0</v>
      </c>
      <c r="F71" s="55">
        <f t="shared" ref="F71:T71" si="11">+F69+F62+F35+F18</f>
        <v>9430</v>
      </c>
      <c r="G71" s="55">
        <f t="shared" si="11"/>
        <v>17707</v>
      </c>
      <c r="H71" s="55">
        <f t="shared" si="11"/>
        <v>134690.90955667832</v>
      </c>
      <c r="I71" s="55">
        <f t="shared" si="11"/>
        <v>14762.293476804929</v>
      </c>
      <c r="J71" s="55">
        <f t="shared" si="11"/>
        <v>16885.919999999998</v>
      </c>
      <c r="K71" s="55">
        <f t="shared" si="11"/>
        <v>18374.794739207027</v>
      </c>
      <c r="L71" s="55">
        <f t="shared" si="11"/>
        <v>18375.2</v>
      </c>
      <c r="M71" s="55">
        <f t="shared" si="11"/>
        <v>19786.523883052643</v>
      </c>
      <c r="N71" s="55">
        <f t="shared" si="11"/>
        <v>34344.330487499668</v>
      </c>
      <c r="O71" s="55">
        <f t="shared" si="11"/>
        <v>13258.250953260691</v>
      </c>
      <c r="P71" s="55">
        <f t="shared" si="11"/>
        <v>15366.140244000027</v>
      </c>
      <c r="Q71" s="55">
        <f t="shared" si="11"/>
        <v>16370.1</v>
      </c>
      <c r="R71" s="55">
        <f t="shared" si="11"/>
        <v>16740</v>
      </c>
      <c r="S71" s="55">
        <f t="shared" si="11"/>
        <v>19084.64</v>
      </c>
      <c r="T71" s="55">
        <f t="shared" si="11"/>
        <v>12500</v>
      </c>
      <c r="U71" s="45"/>
      <c r="V71" s="55">
        <f>+V69+V62+V35+V18</f>
        <v>377676.10334050335</v>
      </c>
      <c r="W71" s="56"/>
      <c r="X71" s="56"/>
    </row>
    <row r="72" spans="3:24" x14ac:dyDescent="0.3"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56"/>
      <c r="X72" s="80"/>
    </row>
    <row r="73" spans="3:24" x14ac:dyDescent="0.3">
      <c r="C73" s="61" t="s">
        <v>37</v>
      </c>
      <c r="D73" s="62" t="s">
        <v>113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4" x14ac:dyDescent="0.3">
      <c r="C74" s="45"/>
      <c r="D74" s="62" t="s">
        <v>145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3:24" x14ac:dyDescent="0.3">
      <c r="C75" s="45"/>
      <c r="D75" s="62" t="s">
        <v>146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</row>
    <row r="76" spans="3:24" x14ac:dyDescent="0.3">
      <c r="C76" s="45"/>
      <c r="D76" s="62" t="s">
        <v>148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</row>
    <row r="77" spans="3:24" x14ac:dyDescent="0.3">
      <c r="C77" s="45"/>
      <c r="D77" s="62" t="s">
        <v>162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</row>
    <row r="78" spans="3:24" ht="14.4" x14ac:dyDescent="0.3">
      <c r="C78" s="45"/>
      <c r="D78" s="45"/>
      <c r="E78" s="45"/>
      <c r="F78" s="45"/>
      <c r="G78" s="45"/>
      <c r="H78" s="45"/>
      <c r="I78" s="45"/>
      <c r="J78" s="45"/>
      <c r="K78" s="78"/>
      <c r="L78" s="78"/>
      <c r="M78" s="78"/>
      <c r="N78" s="78"/>
      <c r="O78" s="78"/>
      <c r="P78" s="78"/>
      <c r="Q78" s="45"/>
      <c r="R78" s="45"/>
      <c r="S78" s="45"/>
      <c r="T78" s="45"/>
      <c r="U78" s="45"/>
      <c r="V78" s="45"/>
    </row>
    <row r="79" spans="3:24" ht="14.4" x14ac:dyDescent="0.3">
      <c r="C79" s="45"/>
      <c r="D79" s="45"/>
      <c r="E79" s="45"/>
      <c r="F79" s="45"/>
      <c r="G79" s="45"/>
      <c r="H79" s="45"/>
      <c r="I79" s="45"/>
      <c r="J79" s="45"/>
      <c r="K79" s="78"/>
      <c r="L79" s="78"/>
      <c r="M79" s="78"/>
      <c r="N79" s="78"/>
      <c r="O79" s="78"/>
      <c r="P79" s="78"/>
      <c r="Q79" s="45"/>
      <c r="R79" s="45"/>
      <c r="S79" s="45"/>
      <c r="T79" s="45"/>
      <c r="U79" s="45"/>
      <c r="V79" s="45"/>
    </row>
    <row r="80" spans="3:24" ht="14.4" x14ac:dyDescent="0.3">
      <c r="C80" s="45"/>
      <c r="D80" s="45"/>
      <c r="E80" s="45"/>
      <c r="F80" s="45"/>
      <c r="G80" s="45"/>
      <c r="H80" s="45"/>
      <c r="I80" s="45"/>
      <c r="J80" s="45"/>
      <c r="K80" s="78"/>
      <c r="L80" s="78"/>
      <c r="M80" s="78"/>
      <c r="N80" s="78"/>
      <c r="O80" s="78"/>
      <c r="P80" s="78"/>
      <c r="Q80" s="45"/>
      <c r="R80" s="45"/>
      <c r="S80" s="45"/>
      <c r="T80" s="45"/>
      <c r="U80" s="45"/>
      <c r="V80" s="45"/>
    </row>
    <row r="81" spans="3:22" ht="14.4" x14ac:dyDescent="0.3">
      <c r="C81" s="45" t="s">
        <v>163</v>
      </c>
      <c r="D81" s="45"/>
      <c r="E81" s="45"/>
      <c r="F81" s="45"/>
      <c r="G81" s="45"/>
      <c r="H81" s="45"/>
      <c r="I81" s="45"/>
      <c r="J81" s="45"/>
      <c r="K81" s="78"/>
      <c r="L81" s="78"/>
      <c r="M81" s="78"/>
      <c r="N81" s="78"/>
      <c r="O81" s="78"/>
      <c r="P81" s="78"/>
      <c r="Q81" s="45"/>
      <c r="R81" s="45"/>
      <c r="S81" s="45"/>
      <c r="T81" s="45"/>
      <c r="U81" s="45"/>
      <c r="V81" s="45"/>
    </row>
    <row r="83" spans="3:22" x14ac:dyDescent="0.3">
      <c r="J83" s="56"/>
    </row>
    <row r="85" spans="3:22" x14ac:dyDescent="0.3">
      <c r="F85" s="56">
        <f>+F71</f>
        <v>9430</v>
      </c>
      <c r="G85" s="56">
        <f>+G71</f>
        <v>17707</v>
      </c>
      <c r="H85" s="56">
        <f>+H71</f>
        <v>134690.90955667832</v>
      </c>
      <c r="I85" s="56">
        <f>+I71</f>
        <v>14762.293476804929</v>
      </c>
      <c r="J85" s="56">
        <f>+J71</f>
        <v>16885.919999999998</v>
      </c>
      <c r="K85" s="56"/>
      <c r="L85" s="56"/>
      <c r="M85" s="56"/>
    </row>
    <row r="86" spans="3:22" x14ac:dyDescent="0.3">
      <c r="F86" s="56">
        <f>+F33+F34</f>
        <v>5600</v>
      </c>
      <c r="G86" s="56">
        <f>+G33+G34</f>
        <v>5600</v>
      </c>
      <c r="H86" s="56">
        <f>+H33+H34</f>
        <v>7000</v>
      </c>
      <c r="I86" s="56">
        <f>+I33+I34</f>
        <v>7000</v>
      </c>
      <c r="J86" s="56">
        <f>+J33+J34</f>
        <v>7000</v>
      </c>
      <c r="K86" s="56"/>
      <c r="L86" s="56"/>
      <c r="M86" s="56"/>
    </row>
    <row r="87" spans="3:22" ht="13.8" thickBot="1" x14ac:dyDescent="0.35">
      <c r="F87" s="56">
        <f>+F60+F61</f>
        <v>3500</v>
      </c>
      <c r="G87" s="56">
        <f>+G60+G61</f>
        <v>3500</v>
      </c>
      <c r="H87" s="56">
        <f>+H60+H61</f>
        <v>5250</v>
      </c>
      <c r="I87" s="56">
        <f>+I60+I61</f>
        <v>5250</v>
      </c>
      <c r="J87" s="56">
        <f>+J60+J61</f>
        <v>5250</v>
      </c>
      <c r="K87" s="56"/>
      <c r="L87" s="56"/>
      <c r="M87" s="56"/>
    </row>
    <row r="88" spans="3:22" x14ac:dyDescent="0.3">
      <c r="F88" s="71">
        <f>+F86+F87</f>
        <v>9100</v>
      </c>
      <c r="G88" s="72">
        <f t="shared" ref="G88:J88" si="12">+G86+G87</f>
        <v>9100</v>
      </c>
      <c r="H88" s="72">
        <f t="shared" si="12"/>
        <v>12250</v>
      </c>
      <c r="I88" s="72">
        <f t="shared" si="12"/>
        <v>12250</v>
      </c>
      <c r="J88" s="73">
        <f t="shared" si="12"/>
        <v>12250</v>
      </c>
      <c r="K88" s="56" t="s">
        <v>124</v>
      </c>
      <c r="L88" s="56"/>
      <c r="M88" s="56"/>
    </row>
    <row r="89" spans="3:22" ht="13.8" thickBot="1" x14ac:dyDescent="0.35">
      <c r="F89" s="74">
        <f>+F85-F88</f>
        <v>330</v>
      </c>
      <c r="G89" s="75">
        <f t="shared" ref="G89:J89" si="13">+G85-G88</f>
        <v>8607</v>
      </c>
      <c r="H89" s="75">
        <f t="shared" si="13"/>
        <v>122440.90955667832</v>
      </c>
      <c r="I89" s="75">
        <f t="shared" si="13"/>
        <v>2512.293476804929</v>
      </c>
      <c r="J89" s="76">
        <f t="shared" si="13"/>
        <v>4635.9199999999983</v>
      </c>
      <c r="K89" s="56" t="s">
        <v>125</v>
      </c>
      <c r="L89" s="56"/>
      <c r="M89" s="56"/>
    </row>
    <row r="91" spans="3:22" x14ac:dyDescent="0.3">
      <c r="F91" s="42">
        <v>50898</v>
      </c>
      <c r="G91" s="42">
        <v>51679</v>
      </c>
      <c r="H91" s="42">
        <v>52459</v>
      </c>
      <c r="I91" s="42">
        <v>53238</v>
      </c>
      <c r="J91" s="42">
        <v>54017</v>
      </c>
    </row>
    <row r="92" spans="3:22" x14ac:dyDescent="0.3">
      <c r="F92" s="57">
        <f>+F71/F91</f>
        <v>0.18527250579590554</v>
      </c>
      <c r="G92" s="57">
        <f>+G71/G91</f>
        <v>0.34263433889974654</v>
      </c>
      <c r="H92" s="57">
        <f>+H71/H91</f>
        <v>2.5675462657823886</v>
      </c>
      <c r="I92" s="57">
        <f>+I71/I91</f>
        <v>0.27728865616298376</v>
      </c>
      <c r="J92" s="57">
        <f>+J71/J91</f>
        <v>0.31260380991169445</v>
      </c>
    </row>
  </sheetData>
  <mergeCells count="8">
    <mergeCell ref="E8:T8"/>
    <mergeCell ref="V8:V9"/>
    <mergeCell ref="C10:C18"/>
    <mergeCell ref="C36:C62"/>
    <mergeCell ref="C63:C69"/>
    <mergeCell ref="C19:C35"/>
    <mergeCell ref="C8:C9"/>
    <mergeCell ref="D8:D9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  <ignoredErrors>
    <ignoredError sqref="F18:V1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54E3-A8D2-458E-A785-EA468E928F94}">
  <sheetPr>
    <pageSetUpPr fitToPage="1"/>
  </sheetPr>
  <dimension ref="C1:W89"/>
  <sheetViews>
    <sheetView topLeftCell="A50" zoomScaleNormal="100" workbookViewId="0">
      <selection activeCell="F36" sqref="F36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77734375" style="42" bestFit="1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2" t="s">
        <v>6</v>
      </c>
      <c r="D19" s="19" t="s">
        <v>33</v>
      </c>
      <c r="E19" s="20"/>
      <c r="F19" s="20"/>
      <c r="G19" s="20">
        <v>600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 t="shared" ref="V19:V33" si="2">+SUM(F19:T19)</f>
        <v>600</v>
      </c>
    </row>
    <row r="20" spans="3:22" x14ac:dyDescent="0.3">
      <c r="C20" s="82"/>
      <c r="D20" s="19" t="s">
        <v>79</v>
      </c>
      <c r="E20" s="20"/>
      <c r="F20" s="20"/>
      <c r="G20" s="20"/>
      <c r="H20" s="20"/>
      <c r="I20" s="20"/>
      <c r="J20" s="20"/>
      <c r="K20" s="20">
        <f>4.59*1000</f>
        <v>4590</v>
      </c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>
        <f t="shared" si="2"/>
        <v>4590</v>
      </c>
    </row>
    <row r="21" spans="3:22" x14ac:dyDescent="0.3">
      <c r="C21" s="82"/>
      <c r="D21" s="19" t="s">
        <v>80</v>
      </c>
      <c r="E21" s="20"/>
      <c r="F21" s="20"/>
      <c r="G21" s="20"/>
      <c r="H21" s="20"/>
      <c r="I21" s="20"/>
      <c r="J21" s="20"/>
      <c r="K21" s="20"/>
      <c r="L21" s="20">
        <f>4.59*710</f>
        <v>3258.9</v>
      </c>
      <c r="M21" s="20"/>
      <c r="N21" s="20"/>
      <c r="O21" s="20"/>
      <c r="P21" s="20"/>
      <c r="Q21" s="20"/>
      <c r="R21" s="20"/>
      <c r="S21" s="20"/>
      <c r="T21" s="20"/>
      <c r="U21" s="45"/>
      <c r="V21" s="20">
        <f t="shared" si="2"/>
        <v>3258.9</v>
      </c>
    </row>
    <row r="22" spans="3:22" x14ac:dyDescent="0.3">
      <c r="C22" s="82"/>
      <c r="D22" s="19" t="s">
        <v>81</v>
      </c>
      <c r="E22" s="20"/>
      <c r="F22" s="20"/>
      <c r="G22" s="20"/>
      <c r="H22" s="20"/>
      <c r="I22" s="20"/>
      <c r="J22" s="20"/>
      <c r="K22" s="20"/>
      <c r="L22" s="20">
        <f>240*4.59</f>
        <v>1101.5999999999999</v>
      </c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1101.5999999999999</v>
      </c>
    </row>
    <row r="23" spans="3:22" x14ac:dyDescent="0.3">
      <c r="C23" s="82"/>
      <c r="D23" s="19" t="s">
        <v>82</v>
      </c>
      <c r="E23" s="20"/>
      <c r="F23" s="20"/>
      <c r="G23" s="20"/>
      <c r="H23" s="20"/>
      <c r="I23" s="20"/>
      <c r="J23" s="20"/>
      <c r="K23" s="20"/>
      <c r="L23" s="20">
        <f>330*4.59</f>
        <v>1514.7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1514.7</v>
      </c>
    </row>
    <row r="24" spans="3:22" x14ac:dyDescent="0.3">
      <c r="C24" s="82"/>
      <c r="D24" s="19" t="s">
        <v>83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>
        <f>5.3*370</f>
        <v>1961</v>
      </c>
      <c r="Q24" s="20"/>
      <c r="R24" s="20"/>
      <c r="S24" s="20"/>
      <c r="T24" s="20"/>
      <c r="U24" s="45"/>
      <c r="V24" s="20">
        <f t="shared" si="2"/>
        <v>1961</v>
      </c>
    </row>
    <row r="25" spans="3:22" x14ac:dyDescent="0.3">
      <c r="C25" s="82"/>
      <c r="D25" s="19" t="s">
        <v>84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>
        <f>5.3*800</f>
        <v>4240</v>
      </c>
      <c r="S25" s="20"/>
      <c r="T25" s="20"/>
      <c r="U25" s="45"/>
      <c r="V25" s="20">
        <f t="shared" si="2"/>
        <v>4240</v>
      </c>
    </row>
    <row r="26" spans="3:22" x14ac:dyDescent="0.3">
      <c r="C26" s="82"/>
      <c r="D26" s="19" t="s">
        <v>85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>
        <f>520*4.59</f>
        <v>2386.7999999999997</v>
      </c>
      <c r="T26" s="20"/>
      <c r="U26" s="45"/>
      <c r="V26" s="20">
        <f t="shared" si="2"/>
        <v>2386.7999999999997</v>
      </c>
    </row>
    <row r="27" spans="3:22" x14ac:dyDescent="0.3">
      <c r="C27" s="82"/>
      <c r="D27" s="19" t="s">
        <v>86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>
        <f>3.22*111</f>
        <v>357.42</v>
      </c>
      <c r="T27" s="20"/>
      <c r="U27" s="45"/>
      <c r="V27" s="20">
        <f t="shared" si="2"/>
        <v>357.42</v>
      </c>
    </row>
    <row r="28" spans="3:22" x14ac:dyDescent="0.3">
      <c r="C28" s="82"/>
      <c r="D28" s="19" t="s">
        <v>87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3.22*124</f>
        <v>399.28000000000003</v>
      </c>
      <c r="T28" s="20"/>
      <c r="U28" s="45"/>
      <c r="V28" s="20">
        <f t="shared" si="2"/>
        <v>399.28000000000003</v>
      </c>
    </row>
    <row r="29" spans="3:22" x14ac:dyDescent="0.3">
      <c r="C29" s="82"/>
      <c r="D29" s="19" t="s">
        <v>88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137*3.22</f>
        <v>441.14000000000004</v>
      </c>
      <c r="T29" s="20"/>
      <c r="U29" s="45"/>
      <c r="V29" s="20">
        <f t="shared" si="2"/>
        <v>441.14000000000004</v>
      </c>
    </row>
    <row r="30" spans="3:22" x14ac:dyDescent="0.3">
      <c r="C30" s="82"/>
      <c r="D30" s="19" t="s">
        <v>74</v>
      </c>
      <c r="E30" s="20"/>
      <c r="F30" s="20"/>
      <c r="G30" s="20"/>
      <c r="H30" s="20"/>
      <c r="I30" s="20"/>
      <c r="J30" s="20">
        <v>326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45"/>
      <c r="V30" s="20">
        <f t="shared" si="2"/>
        <v>326</v>
      </c>
    </row>
    <row r="31" spans="3:22" x14ac:dyDescent="0.3">
      <c r="C31" s="82"/>
      <c r="D31" s="19" t="s">
        <v>94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>
        <v>3000</v>
      </c>
      <c r="T31" s="20"/>
      <c r="U31" s="45"/>
      <c r="V31" s="20">
        <f t="shared" si="2"/>
        <v>3000</v>
      </c>
    </row>
    <row r="32" spans="3:22" x14ac:dyDescent="0.3">
      <c r="C32" s="82"/>
      <c r="D32" s="19" t="s">
        <v>63</v>
      </c>
      <c r="E32" s="20"/>
      <c r="F32" s="20">
        <v>5600</v>
      </c>
      <c r="G32" s="20">
        <v>5600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45"/>
      <c r="V32" s="20">
        <f t="shared" si="2"/>
        <v>11200</v>
      </c>
    </row>
    <row r="33" spans="3:22" x14ac:dyDescent="0.3">
      <c r="C33" s="82"/>
      <c r="D33" s="19" t="s">
        <v>98</v>
      </c>
      <c r="E33" s="52"/>
      <c r="F33" s="20"/>
      <c r="G33" s="20"/>
      <c r="H33" s="20">
        <v>7000</v>
      </c>
      <c r="I33" s="20">
        <f>+H33</f>
        <v>7000</v>
      </c>
      <c r="J33" s="20">
        <f t="shared" ref="J33:T33" si="3">+I33</f>
        <v>7000</v>
      </c>
      <c r="K33" s="20">
        <f t="shared" si="3"/>
        <v>7000</v>
      </c>
      <c r="L33" s="20">
        <f t="shared" si="3"/>
        <v>7000</v>
      </c>
      <c r="M33" s="20">
        <f t="shared" si="3"/>
        <v>7000</v>
      </c>
      <c r="N33" s="20">
        <f t="shared" si="3"/>
        <v>7000</v>
      </c>
      <c r="O33" s="20">
        <f t="shared" si="3"/>
        <v>7000</v>
      </c>
      <c r="P33" s="20">
        <f t="shared" si="3"/>
        <v>7000</v>
      </c>
      <c r="Q33" s="20">
        <f t="shared" si="3"/>
        <v>7000</v>
      </c>
      <c r="R33" s="20">
        <f t="shared" si="3"/>
        <v>7000</v>
      </c>
      <c r="S33" s="20">
        <f t="shared" si="3"/>
        <v>7000</v>
      </c>
      <c r="T33" s="20">
        <f t="shared" si="3"/>
        <v>7000</v>
      </c>
      <c r="U33" s="45"/>
      <c r="V33" s="20">
        <f t="shared" si="2"/>
        <v>91000</v>
      </c>
    </row>
    <row r="34" spans="3:22" x14ac:dyDescent="0.3">
      <c r="C34" s="83"/>
      <c r="D34" s="50" t="s">
        <v>18</v>
      </c>
      <c r="E34" s="51">
        <v>0</v>
      </c>
      <c r="F34" s="51">
        <f t="shared" ref="F34:T34" si="4">+SUM(F19:F33)</f>
        <v>5600</v>
      </c>
      <c r="G34" s="51">
        <f t="shared" si="4"/>
        <v>6200</v>
      </c>
      <c r="H34" s="51">
        <f t="shared" si="4"/>
        <v>7000</v>
      </c>
      <c r="I34" s="51">
        <f t="shared" si="4"/>
        <v>7000</v>
      </c>
      <c r="J34" s="51">
        <f t="shared" si="4"/>
        <v>7326</v>
      </c>
      <c r="K34" s="51">
        <f t="shared" si="4"/>
        <v>11590</v>
      </c>
      <c r="L34" s="51">
        <f t="shared" si="4"/>
        <v>12875.2</v>
      </c>
      <c r="M34" s="51">
        <f t="shared" si="4"/>
        <v>7000</v>
      </c>
      <c r="N34" s="51">
        <f t="shared" si="4"/>
        <v>7000</v>
      </c>
      <c r="O34" s="51">
        <f t="shared" si="4"/>
        <v>7000</v>
      </c>
      <c r="P34" s="51">
        <f t="shared" si="4"/>
        <v>8961</v>
      </c>
      <c r="Q34" s="51">
        <f t="shared" si="4"/>
        <v>7000</v>
      </c>
      <c r="R34" s="51">
        <f t="shared" si="4"/>
        <v>11240</v>
      </c>
      <c r="S34" s="51">
        <f t="shared" si="4"/>
        <v>13584.64</v>
      </c>
      <c r="T34" s="51">
        <f t="shared" si="4"/>
        <v>7000</v>
      </c>
      <c r="U34" s="45"/>
      <c r="V34" s="51">
        <f>+SUM(F34:T34)</f>
        <v>126376.84</v>
      </c>
    </row>
    <row r="35" spans="3:22" x14ac:dyDescent="0.3">
      <c r="C35" s="81" t="s">
        <v>7</v>
      </c>
      <c r="D35" s="19" t="s">
        <v>102</v>
      </c>
      <c r="E35" s="20"/>
      <c r="F35" s="20"/>
      <c r="G35" s="20">
        <v>200</v>
      </c>
      <c r="H35" s="20">
        <f>+G35</f>
        <v>200</v>
      </c>
      <c r="I35" s="20">
        <f t="shared" ref="I35:T35" si="5">+H35</f>
        <v>200</v>
      </c>
      <c r="J35" s="20">
        <f t="shared" si="5"/>
        <v>200</v>
      </c>
      <c r="K35" s="20">
        <f t="shared" si="5"/>
        <v>200</v>
      </c>
      <c r="L35" s="20">
        <f t="shared" si="5"/>
        <v>200</v>
      </c>
      <c r="M35" s="20">
        <f t="shared" si="5"/>
        <v>200</v>
      </c>
      <c r="N35" s="20">
        <f t="shared" si="5"/>
        <v>200</v>
      </c>
      <c r="O35" s="20">
        <f t="shared" si="5"/>
        <v>200</v>
      </c>
      <c r="P35" s="20">
        <f t="shared" si="5"/>
        <v>200</v>
      </c>
      <c r="Q35" s="20">
        <f t="shared" si="5"/>
        <v>200</v>
      </c>
      <c r="R35" s="20">
        <f t="shared" si="5"/>
        <v>200</v>
      </c>
      <c r="S35" s="20">
        <f t="shared" si="5"/>
        <v>200</v>
      </c>
      <c r="T35" s="20">
        <f t="shared" si="5"/>
        <v>200</v>
      </c>
      <c r="U35" s="45"/>
      <c r="V35" s="20">
        <f>+SUM(F35:T35)</f>
        <v>2800</v>
      </c>
    </row>
    <row r="36" spans="3:22" x14ac:dyDescent="0.3">
      <c r="C36" s="82"/>
      <c r="D36" s="19" t="s">
        <v>105</v>
      </c>
      <c r="E36" s="20"/>
      <c r="F36" s="20">
        <v>330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45"/>
      <c r="V36" s="20">
        <f t="shared" ref="V36:V60" si="6">+SUM(F36:T36)</f>
        <v>330</v>
      </c>
    </row>
    <row r="37" spans="3:22" x14ac:dyDescent="0.3">
      <c r="C37" s="82"/>
      <c r="D37" s="19" t="s">
        <v>31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>
        <v>758.25095326069072</v>
      </c>
      <c r="P37" s="20"/>
      <c r="Q37" s="20"/>
      <c r="R37" s="20"/>
      <c r="S37" s="20"/>
      <c r="T37" s="20"/>
      <c r="U37" s="45"/>
      <c r="V37" s="20">
        <f t="shared" si="6"/>
        <v>758.25095326069072</v>
      </c>
    </row>
    <row r="38" spans="3:22" x14ac:dyDescent="0.3">
      <c r="C38" s="82"/>
      <c r="D38" s="19" t="s">
        <v>32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>
        <v>905.14024400002631</v>
      </c>
      <c r="Q38" s="20"/>
      <c r="R38" s="20"/>
      <c r="S38" s="20"/>
      <c r="T38" s="20"/>
      <c r="U38" s="45"/>
      <c r="V38" s="20">
        <f t="shared" si="6"/>
        <v>905.14024400002631</v>
      </c>
    </row>
    <row r="39" spans="3:22" x14ac:dyDescent="0.3">
      <c r="C39" s="82"/>
      <c r="D39" s="19" t="s">
        <v>41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>
        <v>1370.1</v>
      </c>
      <c r="R39" s="20"/>
      <c r="S39" s="20"/>
      <c r="T39" s="20"/>
      <c r="U39" s="45"/>
      <c r="V39" s="20">
        <f t="shared" si="6"/>
        <v>1370.1</v>
      </c>
    </row>
    <row r="40" spans="3:22" x14ac:dyDescent="0.3">
      <c r="C40" s="82"/>
      <c r="D40" s="19" t="s">
        <v>42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>
        <v>1250</v>
      </c>
      <c r="R40" s="20"/>
      <c r="S40" s="20"/>
      <c r="T40" s="20"/>
      <c r="U40" s="45"/>
      <c r="V40" s="20">
        <f t="shared" si="6"/>
        <v>1250</v>
      </c>
    </row>
    <row r="41" spans="3:22" x14ac:dyDescent="0.3">
      <c r="C41" s="82"/>
      <c r="D41" s="19" t="s">
        <v>43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900</v>
      </c>
      <c r="R41" s="20"/>
      <c r="S41" s="20"/>
      <c r="T41" s="20"/>
      <c r="U41" s="45"/>
      <c r="V41" s="20">
        <f t="shared" si="6"/>
        <v>900</v>
      </c>
    </row>
    <row r="42" spans="3:22" x14ac:dyDescent="0.3">
      <c r="C42" s="82"/>
      <c r="D42" s="19" t="s">
        <v>101</v>
      </c>
      <c r="E42" s="20"/>
      <c r="F42" s="20"/>
      <c r="G42" s="20"/>
      <c r="H42" s="20">
        <v>3000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45"/>
      <c r="V42" s="20">
        <f t="shared" si="6"/>
        <v>3000</v>
      </c>
    </row>
    <row r="43" spans="3:22" x14ac:dyDescent="0.3">
      <c r="C43" s="82"/>
      <c r="D43" s="19" t="s">
        <v>99</v>
      </c>
      <c r="E43" s="20"/>
      <c r="F43" s="20"/>
      <c r="G43" s="20"/>
      <c r="H43" s="20">
        <f>100000000/36800/1.5</f>
        <v>1811.5942028985507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45"/>
      <c r="V43" s="20">
        <f t="shared" si="6"/>
        <v>1811.5942028985507</v>
      </c>
    </row>
    <row r="44" spans="3:22" x14ac:dyDescent="0.3">
      <c r="C44" s="82"/>
      <c r="D44" s="19" t="s">
        <v>28</v>
      </c>
      <c r="E44" s="20" t="s">
        <v>22</v>
      </c>
      <c r="F44" s="20"/>
      <c r="G44" s="20"/>
      <c r="H44" s="20"/>
      <c r="I44" s="20"/>
      <c r="J44" s="20"/>
      <c r="K44" s="20"/>
      <c r="L44" s="20"/>
      <c r="M44" s="20"/>
      <c r="N44" s="20">
        <v>777.55382891905617</v>
      </c>
      <c r="O44" s="20"/>
      <c r="P44" s="20"/>
      <c r="Q44" s="20"/>
      <c r="R44" s="20"/>
      <c r="S44" s="20"/>
      <c r="T44" s="20"/>
      <c r="U44" s="45"/>
      <c r="V44" s="20">
        <f t="shared" si="6"/>
        <v>777.55382891905617</v>
      </c>
    </row>
    <row r="45" spans="3:22" x14ac:dyDescent="0.3">
      <c r="C45" s="82"/>
      <c r="D45" s="19" t="s">
        <v>29</v>
      </c>
      <c r="E45" s="20" t="s">
        <v>22</v>
      </c>
      <c r="F45" s="20"/>
      <c r="G45" s="20"/>
      <c r="H45" s="20"/>
      <c r="I45" s="20"/>
      <c r="J45" s="20"/>
      <c r="K45" s="20"/>
      <c r="L45" s="20"/>
      <c r="M45" s="20"/>
      <c r="N45" s="20">
        <v>1937.4717074651894</v>
      </c>
      <c r="O45" s="20"/>
      <c r="P45" s="20"/>
      <c r="Q45" s="20"/>
      <c r="R45" s="20"/>
      <c r="S45" s="20"/>
      <c r="T45" s="20"/>
      <c r="U45" s="45"/>
      <c r="V45" s="20">
        <f t="shared" si="6"/>
        <v>1937.4717074651894</v>
      </c>
    </row>
    <row r="46" spans="3:22" x14ac:dyDescent="0.3">
      <c r="C46" s="82"/>
      <c r="D46" s="19" t="s">
        <v>14</v>
      </c>
      <c r="E46" s="20"/>
      <c r="F46" s="20"/>
      <c r="G46" s="20"/>
      <c r="H46" s="20"/>
      <c r="I46" s="20"/>
      <c r="J46" s="20"/>
      <c r="K46" s="20"/>
      <c r="L46" s="20"/>
      <c r="M46" s="20"/>
      <c r="N46" s="20">
        <v>1179.47778879509</v>
      </c>
      <c r="O46" s="20"/>
      <c r="P46" s="20"/>
      <c r="Q46" s="20"/>
      <c r="R46" s="20"/>
      <c r="S46" s="20"/>
      <c r="T46" s="20"/>
      <c r="U46" s="45"/>
      <c r="V46" s="20">
        <f t="shared" si="6"/>
        <v>1179.47778879509</v>
      </c>
    </row>
    <row r="47" spans="3:22" x14ac:dyDescent="0.3">
      <c r="C47" s="82"/>
      <c r="D47" s="19" t="s">
        <v>27</v>
      </c>
      <c r="E47" s="20" t="s">
        <v>22</v>
      </c>
      <c r="F47" s="20"/>
      <c r="G47" s="20"/>
      <c r="H47" s="20"/>
      <c r="I47" s="20"/>
      <c r="J47" s="20"/>
      <c r="K47" s="20">
        <v>1284.7947392070291</v>
      </c>
      <c r="L47" s="20"/>
      <c r="M47" s="20"/>
      <c r="N47" s="20"/>
      <c r="O47" s="20"/>
      <c r="P47" s="20"/>
      <c r="Q47" s="20"/>
      <c r="R47" s="20"/>
      <c r="S47" s="20"/>
      <c r="T47" s="20"/>
      <c r="U47" s="45"/>
      <c r="V47" s="20">
        <f t="shared" si="6"/>
        <v>1284.7947392070291</v>
      </c>
    </row>
    <row r="48" spans="3:22" x14ac:dyDescent="0.3">
      <c r="C48" s="82"/>
      <c r="D48" s="19" t="s">
        <v>23</v>
      </c>
      <c r="E48" s="20" t="s">
        <v>21</v>
      </c>
      <c r="F48" s="20"/>
      <c r="G48" s="20"/>
      <c r="H48" s="20"/>
      <c r="I48" s="20"/>
      <c r="J48" s="20"/>
      <c r="K48" s="20"/>
      <c r="L48" s="20"/>
      <c r="M48" s="20"/>
      <c r="N48" s="20">
        <v>1590.7278236895932</v>
      </c>
      <c r="O48" s="20"/>
      <c r="P48" s="20"/>
      <c r="Q48" s="20"/>
      <c r="R48" s="20"/>
      <c r="S48" s="20"/>
      <c r="T48" s="20"/>
      <c r="U48" s="45"/>
      <c r="V48" s="20">
        <f t="shared" si="6"/>
        <v>1590.7278236895932</v>
      </c>
    </row>
    <row r="49" spans="3:22" x14ac:dyDescent="0.3">
      <c r="C49" s="82"/>
      <c r="D49" s="19" t="s">
        <v>26</v>
      </c>
      <c r="E49" s="20" t="s">
        <v>22</v>
      </c>
      <c r="F49" s="20"/>
      <c r="G49" s="20"/>
      <c r="H49" s="20"/>
      <c r="I49" s="20">
        <v>341.29347680492879</v>
      </c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45"/>
      <c r="V49" s="20">
        <f t="shared" si="6"/>
        <v>341.29347680492879</v>
      </c>
    </row>
    <row r="50" spans="3:22" x14ac:dyDescent="0.3">
      <c r="C50" s="82"/>
      <c r="D50" s="19" t="s">
        <v>57</v>
      </c>
      <c r="E50" s="20"/>
      <c r="F50" s="20"/>
      <c r="G50" s="20"/>
      <c r="H50" s="20">
        <v>100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20">
        <f t="shared" si="6"/>
        <v>100</v>
      </c>
    </row>
    <row r="51" spans="3:22" x14ac:dyDescent="0.3">
      <c r="C51" s="82"/>
      <c r="D51" s="19" t="s">
        <v>77</v>
      </c>
      <c r="E51" s="20"/>
      <c r="F51" s="20"/>
      <c r="G51" s="20"/>
      <c r="H51" s="20"/>
      <c r="I51" s="20"/>
      <c r="J51" s="20">
        <f>6.16*712</f>
        <v>4385.92</v>
      </c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4385.92</v>
      </c>
    </row>
    <row r="52" spans="3:22" x14ac:dyDescent="0.3">
      <c r="C52" s="82"/>
      <c r="D52" s="19" t="s">
        <v>67</v>
      </c>
      <c r="E52" s="20"/>
      <c r="F52" s="20"/>
      <c r="G52" s="20"/>
      <c r="H52" s="20">
        <v>1087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V52" s="39">
        <f t="shared" si="6"/>
        <v>1087</v>
      </c>
    </row>
    <row r="53" spans="3:22" x14ac:dyDescent="0.3">
      <c r="C53" s="82"/>
      <c r="D53" s="19" t="s">
        <v>68</v>
      </c>
      <c r="E53" s="20"/>
      <c r="F53" s="20"/>
      <c r="G53" s="20"/>
      <c r="H53" s="20">
        <v>200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45"/>
      <c r="V53" s="20">
        <f t="shared" si="6"/>
        <v>200</v>
      </c>
    </row>
    <row r="54" spans="3:22" x14ac:dyDescent="0.3">
      <c r="C54" s="82"/>
      <c r="D54" s="19" t="s">
        <v>69</v>
      </c>
      <c r="E54" s="20"/>
      <c r="F54" s="20"/>
      <c r="G54" s="20"/>
      <c r="H54" s="20"/>
      <c r="I54" s="20">
        <v>408</v>
      </c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45"/>
      <c r="V54" s="20">
        <f t="shared" si="6"/>
        <v>408</v>
      </c>
    </row>
    <row r="55" spans="3:22" x14ac:dyDescent="0.3">
      <c r="C55" s="82"/>
      <c r="D55" s="19" t="s">
        <v>70</v>
      </c>
      <c r="E55" s="20"/>
      <c r="F55" s="20"/>
      <c r="G55" s="20"/>
      <c r="H55" s="20"/>
      <c r="I55" s="20">
        <v>226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20">
        <f t="shared" si="6"/>
        <v>226</v>
      </c>
    </row>
    <row r="56" spans="3:22" ht="13.95" customHeight="1" x14ac:dyDescent="0.3">
      <c r="C56" s="82"/>
      <c r="D56" s="19" t="s">
        <v>71</v>
      </c>
      <c r="E56" s="20"/>
      <c r="F56" s="20"/>
      <c r="G56" s="20"/>
      <c r="H56" s="20"/>
      <c r="I56" s="20"/>
      <c r="J56" s="20">
        <v>489</v>
      </c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489</v>
      </c>
    </row>
    <row r="57" spans="3:22" x14ac:dyDescent="0.3">
      <c r="C57" s="82"/>
      <c r="D57" s="19" t="s">
        <v>72</v>
      </c>
      <c r="E57" s="20"/>
      <c r="F57" s="20"/>
      <c r="G57" s="20"/>
      <c r="H57" s="20"/>
      <c r="I57" s="20">
        <v>226</v>
      </c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226</v>
      </c>
    </row>
    <row r="58" spans="3:22" x14ac:dyDescent="0.3">
      <c r="C58" s="82"/>
      <c r="D58" s="19" t="s">
        <v>73</v>
      </c>
      <c r="E58" s="20"/>
      <c r="F58" s="20"/>
      <c r="G58" s="20"/>
      <c r="H58" s="20"/>
      <c r="I58" s="20"/>
      <c r="J58" s="20">
        <v>226</v>
      </c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226</v>
      </c>
    </row>
    <row r="59" spans="3:22" x14ac:dyDescent="0.3">
      <c r="C59" s="82"/>
      <c r="D59" s="19" t="s">
        <v>123</v>
      </c>
      <c r="E59" s="20"/>
      <c r="F59" s="20">
        <v>3500</v>
      </c>
      <c r="G59" s="20">
        <v>3500</v>
      </c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7000</v>
      </c>
    </row>
    <row r="60" spans="3:22" x14ac:dyDescent="0.3">
      <c r="C60" s="82"/>
      <c r="D60" s="19" t="s">
        <v>103</v>
      </c>
      <c r="E60" s="52"/>
      <c r="F60" s="20"/>
      <c r="G60" s="20"/>
      <c r="H60" s="20">
        <v>5250</v>
      </c>
      <c r="I60" s="20">
        <f>+H60</f>
        <v>5250</v>
      </c>
      <c r="J60" s="20">
        <f t="shared" ref="J60:T60" si="7">+I60</f>
        <v>5250</v>
      </c>
      <c r="K60" s="20">
        <f t="shared" si="7"/>
        <v>5250</v>
      </c>
      <c r="L60" s="20">
        <f t="shared" si="7"/>
        <v>5250</v>
      </c>
      <c r="M60" s="20">
        <f t="shared" si="7"/>
        <v>5250</v>
      </c>
      <c r="N60" s="20">
        <f t="shared" si="7"/>
        <v>5250</v>
      </c>
      <c r="O60" s="20">
        <f t="shared" si="7"/>
        <v>5250</v>
      </c>
      <c r="P60" s="20">
        <f t="shared" si="7"/>
        <v>5250</v>
      </c>
      <c r="Q60" s="20">
        <f t="shared" si="7"/>
        <v>5250</v>
      </c>
      <c r="R60" s="20">
        <f t="shared" si="7"/>
        <v>5250</v>
      </c>
      <c r="S60" s="20">
        <f t="shared" si="7"/>
        <v>5250</v>
      </c>
      <c r="T60" s="20">
        <f t="shared" si="7"/>
        <v>5250</v>
      </c>
      <c r="U60" s="45"/>
      <c r="V60" s="20">
        <f t="shared" si="6"/>
        <v>68250</v>
      </c>
    </row>
    <row r="61" spans="3:22" x14ac:dyDescent="0.3">
      <c r="C61" s="83"/>
      <c r="D61" s="50" t="s">
        <v>19</v>
      </c>
      <c r="E61" s="51">
        <v>0</v>
      </c>
      <c r="F61" s="51">
        <f t="shared" ref="F61:T61" si="8">+SUM(F35:F60)</f>
        <v>3830</v>
      </c>
      <c r="G61" s="51">
        <f t="shared" si="8"/>
        <v>3700</v>
      </c>
      <c r="H61" s="51">
        <f t="shared" si="8"/>
        <v>11648.594202898552</v>
      </c>
      <c r="I61" s="51">
        <f t="shared" si="8"/>
        <v>6651.293476804929</v>
      </c>
      <c r="J61" s="51">
        <f t="shared" si="8"/>
        <v>10550.92</v>
      </c>
      <c r="K61" s="51">
        <f t="shared" si="8"/>
        <v>6734.7947392070291</v>
      </c>
      <c r="L61" s="51">
        <f t="shared" si="8"/>
        <v>5450</v>
      </c>
      <c r="M61" s="51">
        <f t="shared" si="8"/>
        <v>5450</v>
      </c>
      <c r="N61" s="51">
        <f t="shared" si="8"/>
        <v>10935.231148868928</v>
      </c>
      <c r="O61" s="51">
        <f t="shared" si="8"/>
        <v>6208.2509532606909</v>
      </c>
      <c r="P61" s="51">
        <f t="shared" si="8"/>
        <v>6355.1402440000265</v>
      </c>
      <c r="Q61" s="51">
        <f t="shared" si="8"/>
        <v>8970.1</v>
      </c>
      <c r="R61" s="51">
        <f t="shared" si="8"/>
        <v>5450</v>
      </c>
      <c r="S61" s="51">
        <f t="shared" si="8"/>
        <v>5450</v>
      </c>
      <c r="T61" s="51">
        <f t="shared" si="8"/>
        <v>5450</v>
      </c>
      <c r="U61" s="45"/>
      <c r="V61" s="51">
        <f>+SUM(F61:T61)</f>
        <v>102834.32476504016</v>
      </c>
    </row>
    <row r="62" spans="3:22" x14ac:dyDescent="0.3">
      <c r="C62" s="81" t="s">
        <v>8</v>
      </c>
      <c r="D62" s="19" t="s">
        <v>58</v>
      </c>
      <c r="E62" s="20"/>
      <c r="F62" s="20"/>
      <c r="G62" s="20"/>
      <c r="H62" s="20">
        <f>61195.9668057236/110*160</f>
        <v>89012.315353779777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45"/>
      <c r="V62" s="20">
        <f>+SUM(F62:T62)</f>
        <v>89012.315353779777</v>
      </c>
    </row>
    <row r="63" spans="3:22" x14ac:dyDescent="0.3">
      <c r="C63" s="82"/>
      <c r="D63" s="19" t="s">
        <v>9</v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>
        <v>350</v>
      </c>
      <c r="R63" s="20"/>
      <c r="S63" s="20"/>
      <c r="T63" s="20"/>
      <c r="U63" s="45"/>
      <c r="V63" s="20">
        <f>+SUM(F63:T63)</f>
        <v>350</v>
      </c>
    </row>
    <row r="64" spans="3:22" x14ac:dyDescent="0.3">
      <c r="C64" s="82"/>
      <c r="D64" s="19" t="s">
        <v>107</v>
      </c>
      <c r="E64" s="20"/>
      <c r="F64" s="20"/>
      <c r="G64" s="20">
        <v>6580</v>
      </c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45"/>
      <c r="V64" s="20">
        <f t="shared" ref="V64" si="9">+SUM(F64:T64)</f>
        <v>6580</v>
      </c>
    </row>
    <row r="65" spans="3:23" x14ac:dyDescent="0.3">
      <c r="C65" s="83"/>
      <c r="D65" s="50" t="s">
        <v>20</v>
      </c>
      <c r="E65" s="51">
        <v>0</v>
      </c>
      <c r="F65" s="51">
        <f t="shared" ref="F65:T65" si="10">+SUM(F62:F64)</f>
        <v>0</v>
      </c>
      <c r="G65" s="51">
        <f t="shared" si="10"/>
        <v>6580</v>
      </c>
      <c r="H65" s="51">
        <f t="shared" si="10"/>
        <v>89012.315353779777</v>
      </c>
      <c r="I65" s="51">
        <f t="shared" si="10"/>
        <v>0</v>
      </c>
      <c r="J65" s="51">
        <f t="shared" si="10"/>
        <v>0</v>
      </c>
      <c r="K65" s="51">
        <f t="shared" si="10"/>
        <v>0</v>
      </c>
      <c r="L65" s="51">
        <f t="shared" si="10"/>
        <v>0</v>
      </c>
      <c r="M65" s="51">
        <f t="shared" si="10"/>
        <v>0</v>
      </c>
      <c r="N65" s="51">
        <f t="shared" si="10"/>
        <v>0</v>
      </c>
      <c r="O65" s="51">
        <f t="shared" si="10"/>
        <v>0</v>
      </c>
      <c r="P65" s="51">
        <f t="shared" si="10"/>
        <v>0</v>
      </c>
      <c r="Q65" s="51">
        <f t="shared" si="10"/>
        <v>350</v>
      </c>
      <c r="R65" s="51">
        <f t="shared" si="10"/>
        <v>0</v>
      </c>
      <c r="S65" s="51">
        <f t="shared" si="10"/>
        <v>0</v>
      </c>
      <c r="T65" s="51">
        <f t="shared" si="10"/>
        <v>0</v>
      </c>
      <c r="U65" s="45"/>
      <c r="V65" s="51">
        <f>+SUM(F65:T65)</f>
        <v>95942.315353779777</v>
      </c>
    </row>
    <row r="66" spans="3:23" x14ac:dyDescent="0.3">
      <c r="C66" s="48"/>
      <c r="D66" s="53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45"/>
      <c r="V66" s="39"/>
    </row>
    <row r="67" spans="3:23" x14ac:dyDescent="0.3">
      <c r="C67" s="54"/>
      <c r="D67" s="54" t="s">
        <v>10</v>
      </c>
      <c r="E67" s="55">
        <v>0</v>
      </c>
      <c r="F67" s="55">
        <f t="shared" ref="F67:T67" si="11">+F65+F61+F34+F18</f>
        <v>9430</v>
      </c>
      <c r="G67" s="55">
        <f t="shared" si="11"/>
        <v>17657</v>
      </c>
      <c r="H67" s="55">
        <f t="shared" si="11"/>
        <v>107660.90955667832</v>
      </c>
      <c r="I67" s="55">
        <f t="shared" si="11"/>
        <v>13651.293476804929</v>
      </c>
      <c r="J67" s="55">
        <f t="shared" si="11"/>
        <v>17876.919999999998</v>
      </c>
      <c r="K67" s="55">
        <f t="shared" si="11"/>
        <v>18324.794739207027</v>
      </c>
      <c r="L67" s="55">
        <f t="shared" si="11"/>
        <v>18325.2</v>
      </c>
      <c r="M67" s="55">
        <f t="shared" si="11"/>
        <v>19736.523883052643</v>
      </c>
      <c r="N67" s="55">
        <f t="shared" si="11"/>
        <v>34294.330487499668</v>
      </c>
      <c r="O67" s="55">
        <f t="shared" si="11"/>
        <v>13208.250953260691</v>
      </c>
      <c r="P67" s="55">
        <f t="shared" si="11"/>
        <v>15316.140244000027</v>
      </c>
      <c r="Q67" s="55">
        <f t="shared" si="11"/>
        <v>16320.1</v>
      </c>
      <c r="R67" s="55">
        <f t="shared" si="11"/>
        <v>16690</v>
      </c>
      <c r="S67" s="55">
        <f t="shared" si="11"/>
        <v>19034.64</v>
      </c>
      <c r="T67" s="55">
        <f t="shared" si="11"/>
        <v>12450</v>
      </c>
      <c r="U67" s="45"/>
      <c r="V67" s="55">
        <f>+V65+V61+V34+V18</f>
        <v>349976.10334050335</v>
      </c>
      <c r="W67" s="56"/>
    </row>
    <row r="68" spans="3:23" x14ac:dyDescent="0.3"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56"/>
    </row>
    <row r="69" spans="3:23" x14ac:dyDescent="0.3">
      <c r="C69" s="61" t="s">
        <v>37</v>
      </c>
      <c r="D69" s="62" t="s">
        <v>113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</row>
    <row r="70" spans="3:23" x14ac:dyDescent="0.3">
      <c r="C70" s="45"/>
      <c r="D70" s="62" t="s">
        <v>75</v>
      </c>
      <c r="E70" s="45"/>
      <c r="F70" s="63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</row>
    <row r="71" spans="3:23" x14ac:dyDescent="0.3">
      <c r="C71" s="45"/>
      <c r="D71" s="62" t="s">
        <v>114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</row>
    <row r="72" spans="3:23" x14ac:dyDescent="0.3">
      <c r="C72" s="45"/>
      <c r="D72" s="62" t="s">
        <v>115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</row>
    <row r="73" spans="3:23" x14ac:dyDescent="0.3">
      <c r="C73" s="45"/>
      <c r="D73" s="62" t="s">
        <v>104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3" x14ac:dyDescent="0.3">
      <c r="C74" s="45"/>
      <c r="D74" s="62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3:23" x14ac:dyDescent="0.3"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</row>
    <row r="76" spans="3:23" ht="15.6" x14ac:dyDescent="0.3"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89" t="s">
        <v>118</v>
      </c>
      <c r="N76" s="89"/>
      <c r="O76" s="89"/>
      <c r="P76" s="89"/>
      <c r="Q76" s="45"/>
      <c r="R76" s="45"/>
      <c r="S76" s="45"/>
      <c r="T76" s="45"/>
      <c r="U76" s="45"/>
      <c r="V76" s="45"/>
    </row>
    <row r="77" spans="3:23" ht="15.6" x14ac:dyDescent="0.3"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90" t="s">
        <v>116</v>
      </c>
      <c r="N77" s="90"/>
      <c r="O77" s="90"/>
      <c r="P77" s="90"/>
      <c r="Q77" s="45"/>
      <c r="R77" s="45"/>
      <c r="S77" s="45"/>
      <c r="T77" s="45"/>
      <c r="U77" s="45"/>
      <c r="V77" s="45"/>
    </row>
    <row r="78" spans="3:23" ht="15.6" x14ac:dyDescent="0.3">
      <c r="C78" s="45" t="s">
        <v>119</v>
      </c>
      <c r="D78" s="45"/>
      <c r="E78" s="45"/>
      <c r="F78" s="45"/>
      <c r="G78" s="45"/>
      <c r="H78" s="45"/>
      <c r="I78" s="45"/>
      <c r="J78" s="45"/>
      <c r="K78" s="45"/>
      <c r="L78" s="45"/>
      <c r="M78" s="90" t="s">
        <v>117</v>
      </c>
      <c r="N78" s="90"/>
      <c r="O78" s="90"/>
      <c r="P78" s="90"/>
      <c r="Q78" s="45"/>
      <c r="R78" s="45"/>
      <c r="S78" s="45"/>
      <c r="T78" s="45"/>
      <c r="U78" s="45"/>
      <c r="V78" s="45"/>
    </row>
    <row r="82" spans="6:13" x14ac:dyDescent="0.3">
      <c r="F82" s="56">
        <f>+F67</f>
        <v>9430</v>
      </c>
      <c r="G82" s="56">
        <f>+G67</f>
        <v>17657</v>
      </c>
      <c r="H82" s="56">
        <f>+H67</f>
        <v>107660.90955667832</v>
      </c>
      <c r="I82" s="56">
        <f>+I67</f>
        <v>13651.293476804929</v>
      </c>
      <c r="J82" s="56">
        <f>+J67</f>
        <v>17876.919999999998</v>
      </c>
      <c r="K82" s="56"/>
      <c r="L82" s="56"/>
      <c r="M82" s="56"/>
    </row>
    <row r="83" spans="6:13" x14ac:dyDescent="0.3">
      <c r="F83" s="56">
        <f>+F32+F33</f>
        <v>5600</v>
      </c>
      <c r="G83" s="56">
        <f>+G32+G33</f>
        <v>5600</v>
      </c>
      <c r="H83" s="56">
        <f>+H32+H33</f>
        <v>7000</v>
      </c>
      <c r="I83" s="56">
        <f>+I32+I33</f>
        <v>7000</v>
      </c>
      <c r="J83" s="56">
        <f>+J32+J33</f>
        <v>7000</v>
      </c>
      <c r="K83" s="56"/>
      <c r="L83" s="56"/>
      <c r="M83" s="56"/>
    </row>
    <row r="84" spans="6:13" ht="13.8" thickBot="1" x14ac:dyDescent="0.35">
      <c r="F84" s="56">
        <f>+F59+F60</f>
        <v>3500</v>
      </c>
      <c r="G84" s="56">
        <f>+G59+G60</f>
        <v>3500</v>
      </c>
      <c r="H84" s="56">
        <f>+H59+H60</f>
        <v>5250</v>
      </c>
      <c r="I84" s="56">
        <f>+I59+I60</f>
        <v>5250</v>
      </c>
      <c r="J84" s="56">
        <f>+J59+J60</f>
        <v>5250</v>
      </c>
      <c r="K84" s="56"/>
      <c r="L84" s="56"/>
      <c r="M84" s="56"/>
    </row>
    <row r="85" spans="6:13" x14ac:dyDescent="0.3">
      <c r="F85" s="71">
        <f>+F83+F84</f>
        <v>9100</v>
      </c>
      <c r="G85" s="72">
        <f t="shared" ref="G85:J85" si="12">+G83+G84</f>
        <v>9100</v>
      </c>
      <c r="H85" s="72">
        <f t="shared" si="12"/>
        <v>12250</v>
      </c>
      <c r="I85" s="72">
        <f t="shared" si="12"/>
        <v>12250</v>
      </c>
      <c r="J85" s="73">
        <f t="shared" si="12"/>
        <v>12250</v>
      </c>
      <c r="K85" s="56" t="s">
        <v>124</v>
      </c>
      <c r="L85" s="56"/>
      <c r="M85" s="56"/>
    </row>
    <row r="86" spans="6:13" ht="13.8" thickBot="1" x14ac:dyDescent="0.35">
      <c r="F86" s="74">
        <f>+F82-F85</f>
        <v>330</v>
      </c>
      <c r="G86" s="75">
        <f t="shared" ref="G86:J86" si="13">+G82-G85</f>
        <v>8557</v>
      </c>
      <c r="H86" s="75">
        <f t="shared" si="13"/>
        <v>95410.909556678322</v>
      </c>
      <c r="I86" s="75">
        <f t="shared" si="13"/>
        <v>1401.293476804929</v>
      </c>
      <c r="J86" s="76">
        <f t="shared" si="13"/>
        <v>5626.9199999999983</v>
      </c>
      <c r="K86" s="56" t="s">
        <v>125</v>
      </c>
      <c r="L86" s="56"/>
      <c r="M86" s="56"/>
    </row>
    <row r="88" spans="6:13" x14ac:dyDescent="0.3">
      <c r="F88" s="42">
        <v>50898</v>
      </c>
      <c r="G88" s="42">
        <v>51679</v>
      </c>
      <c r="H88" s="42">
        <v>52459</v>
      </c>
      <c r="I88" s="42">
        <v>53238</v>
      </c>
      <c r="J88" s="42">
        <v>54017</v>
      </c>
    </row>
    <row r="89" spans="6:13" x14ac:dyDescent="0.3">
      <c r="F89" s="57">
        <f>+F67/F88</f>
        <v>0.18527250579590554</v>
      </c>
      <c r="G89" s="57">
        <f>+G67/G88</f>
        <v>0.3416668279184969</v>
      </c>
      <c r="H89" s="57">
        <f>+H67/H88</f>
        <v>2.0522867297637837</v>
      </c>
      <c r="I89" s="57">
        <f>+I67/I88</f>
        <v>0.25642010362532269</v>
      </c>
      <c r="J89" s="57">
        <f>+J67/J88</f>
        <v>0.3309498861469537</v>
      </c>
    </row>
  </sheetData>
  <mergeCells count="11">
    <mergeCell ref="C35:C61"/>
    <mergeCell ref="C62:C65"/>
    <mergeCell ref="M76:P76"/>
    <mergeCell ref="M77:P77"/>
    <mergeCell ref="M78:P78"/>
    <mergeCell ref="C19:C34"/>
    <mergeCell ref="C8:C9"/>
    <mergeCell ref="D8:D9"/>
    <mergeCell ref="E8:T8"/>
    <mergeCell ref="V8:V9"/>
    <mergeCell ref="C10:C18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0389-ADFA-44AE-B8C2-B1E76F94F82E}">
  <sheetPr>
    <pageSetUpPr fitToPage="1"/>
  </sheetPr>
  <dimension ref="C1:W95"/>
  <sheetViews>
    <sheetView topLeftCell="A40" zoomScale="90" zoomScaleNormal="90" workbookViewId="0">
      <selection activeCell="D66" sqref="D66:D68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44140625" style="42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1" t="s">
        <v>6</v>
      </c>
      <c r="D19" s="19" t="s">
        <v>61</v>
      </c>
      <c r="E19" s="20"/>
      <c r="F19" s="20">
        <v>5600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>+SUM(F19:T19)</f>
        <v>5600</v>
      </c>
    </row>
    <row r="20" spans="3:22" x14ac:dyDescent="0.3">
      <c r="C20" s="82"/>
      <c r="D20" s="19" t="s">
        <v>33</v>
      </c>
      <c r="E20" s="20"/>
      <c r="F20" s="20"/>
      <c r="G20" s="20">
        <v>600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>
        <f t="shared" ref="V20:V34" si="2">+SUM(F20:T20)</f>
        <v>600</v>
      </c>
    </row>
    <row r="21" spans="3:22" x14ac:dyDescent="0.3">
      <c r="C21" s="82"/>
      <c r="D21" s="19" t="s">
        <v>79</v>
      </c>
      <c r="E21" s="20"/>
      <c r="F21" s="20"/>
      <c r="G21" s="20"/>
      <c r="H21" s="20"/>
      <c r="I21" s="20"/>
      <c r="J21" s="20"/>
      <c r="K21" s="20">
        <f>4.59*1000</f>
        <v>4590</v>
      </c>
      <c r="L21" s="20"/>
      <c r="M21" s="20"/>
      <c r="N21" s="20"/>
      <c r="O21" s="20"/>
      <c r="P21" s="20"/>
      <c r="Q21" s="20"/>
      <c r="R21" s="20"/>
      <c r="S21" s="20"/>
      <c r="T21" s="20"/>
      <c r="U21" s="45"/>
      <c r="V21" s="20">
        <f t="shared" si="2"/>
        <v>4590</v>
      </c>
    </row>
    <row r="22" spans="3:22" x14ac:dyDescent="0.3">
      <c r="C22" s="82"/>
      <c r="D22" s="19" t="s">
        <v>80</v>
      </c>
      <c r="E22" s="20"/>
      <c r="F22" s="20"/>
      <c r="G22" s="20"/>
      <c r="H22" s="20"/>
      <c r="I22" s="20"/>
      <c r="J22" s="20"/>
      <c r="K22" s="20"/>
      <c r="L22" s="20">
        <f>4.59*710</f>
        <v>3258.9</v>
      </c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3258.9</v>
      </c>
    </row>
    <row r="23" spans="3:22" x14ac:dyDescent="0.3">
      <c r="C23" s="82"/>
      <c r="D23" s="19" t="s">
        <v>81</v>
      </c>
      <c r="E23" s="20"/>
      <c r="F23" s="20"/>
      <c r="G23" s="20"/>
      <c r="H23" s="20"/>
      <c r="I23" s="20"/>
      <c r="J23" s="20"/>
      <c r="K23" s="20"/>
      <c r="L23" s="20">
        <f>240*4.59</f>
        <v>1101.5999999999999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1101.5999999999999</v>
      </c>
    </row>
    <row r="24" spans="3:22" x14ac:dyDescent="0.3">
      <c r="C24" s="82"/>
      <c r="D24" s="19" t="s">
        <v>82</v>
      </c>
      <c r="E24" s="20"/>
      <c r="F24" s="20"/>
      <c r="G24" s="20"/>
      <c r="H24" s="20"/>
      <c r="I24" s="20"/>
      <c r="J24" s="20"/>
      <c r="K24" s="20"/>
      <c r="L24" s="20">
        <f>330*4.59</f>
        <v>1514.7</v>
      </c>
      <c r="M24" s="20"/>
      <c r="N24" s="20"/>
      <c r="O24" s="20"/>
      <c r="P24" s="20"/>
      <c r="Q24" s="20"/>
      <c r="R24" s="20"/>
      <c r="S24" s="20"/>
      <c r="T24" s="20"/>
      <c r="U24" s="45"/>
      <c r="V24" s="20">
        <f t="shared" si="2"/>
        <v>1514.7</v>
      </c>
    </row>
    <row r="25" spans="3:22" x14ac:dyDescent="0.3">
      <c r="C25" s="82"/>
      <c r="D25" s="19" t="s">
        <v>83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f>5.3*370</f>
        <v>1961</v>
      </c>
      <c r="Q25" s="20"/>
      <c r="R25" s="20"/>
      <c r="S25" s="20"/>
      <c r="T25" s="20"/>
      <c r="U25" s="45"/>
      <c r="V25" s="20">
        <f t="shared" si="2"/>
        <v>1961</v>
      </c>
    </row>
    <row r="26" spans="3:22" x14ac:dyDescent="0.3">
      <c r="C26" s="82"/>
      <c r="D26" s="19" t="s">
        <v>84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>
        <f>5.3*800</f>
        <v>4240</v>
      </c>
      <c r="S26" s="20"/>
      <c r="T26" s="20"/>
      <c r="U26" s="45"/>
      <c r="V26" s="20">
        <f t="shared" si="2"/>
        <v>4240</v>
      </c>
    </row>
    <row r="27" spans="3:22" x14ac:dyDescent="0.3">
      <c r="C27" s="82"/>
      <c r="D27" s="19" t="s">
        <v>85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>
        <f>520*4.59</f>
        <v>2386.7999999999997</v>
      </c>
      <c r="T27" s="20"/>
      <c r="U27" s="45"/>
      <c r="V27" s="20">
        <f t="shared" si="2"/>
        <v>2386.7999999999997</v>
      </c>
    </row>
    <row r="28" spans="3:22" x14ac:dyDescent="0.3">
      <c r="C28" s="82"/>
      <c r="D28" s="19" t="s">
        <v>86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3.22*111</f>
        <v>357.42</v>
      </c>
      <c r="T28" s="20"/>
      <c r="U28" s="45"/>
      <c r="V28" s="20">
        <f t="shared" si="2"/>
        <v>357.42</v>
      </c>
    </row>
    <row r="29" spans="3:22" x14ac:dyDescent="0.3">
      <c r="C29" s="82"/>
      <c r="D29" s="19" t="s">
        <v>87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3.22*124</f>
        <v>399.28000000000003</v>
      </c>
      <c r="T29" s="20"/>
      <c r="U29" s="45"/>
      <c r="V29" s="20">
        <f t="shared" si="2"/>
        <v>399.28000000000003</v>
      </c>
    </row>
    <row r="30" spans="3:22" x14ac:dyDescent="0.3">
      <c r="C30" s="82"/>
      <c r="D30" s="19" t="s">
        <v>88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f>137*3.22</f>
        <v>441.14000000000004</v>
      </c>
      <c r="T30" s="20"/>
      <c r="U30" s="45"/>
      <c r="V30" s="20">
        <f t="shared" si="2"/>
        <v>441.14000000000004</v>
      </c>
    </row>
    <row r="31" spans="3:22" x14ac:dyDescent="0.3">
      <c r="C31" s="82"/>
      <c r="D31" s="19" t="s">
        <v>74</v>
      </c>
      <c r="E31" s="20"/>
      <c r="F31" s="20"/>
      <c r="G31" s="20"/>
      <c r="H31" s="20"/>
      <c r="I31" s="20"/>
      <c r="J31" s="20">
        <v>326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45"/>
      <c r="V31" s="20">
        <f t="shared" si="2"/>
        <v>326</v>
      </c>
    </row>
    <row r="32" spans="3:22" x14ac:dyDescent="0.3">
      <c r="C32" s="82"/>
      <c r="D32" s="19" t="s">
        <v>94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>
        <v>3000</v>
      </c>
      <c r="T32" s="20"/>
      <c r="U32" s="45"/>
      <c r="V32" s="20">
        <f t="shared" si="2"/>
        <v>3000</v>
      </c>
    </row>
    <row r="33" spans="3:22" x14ac:dyDescent="0.3">
      <c r="C33" s="82"/>
      <c r="D33" s="58" t="s">
        <v>63</v>
      </c>
      <c r="E33" s="34"/>
      <c r="F33" s="34">
        <v>5600</v>
      </c>
      <c r="G33" s="34">
        <v>5600</v>
      </c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59"/>
      <c r="V33" s="34">
        <f t="shared" si="2"/>
        <v>11200</v>
      </c>
    </row>
    <row r="34" spans="3:22" x14ac:dyDescent="0.3">
      <c r="C34" s="82"/>
      <c r="D34" s="58" t="s">
        <v>98</v>
      </c>
      <c r="E34" s="60"/>
      <c r="F34" s="34"/>
      <c r="G34" s="34"/>
      <c r="H34" s="34">
        <v>7000</v>
      </c>
      <c r="I34" s="34">
        <f>+H34</f>
        <v>7000</v>
      </c>
      <c r="J34" s="34">
        <f t="shared" ref="J34:T34" si="3">+I34</f>
        <v>7000</v>
      </c>
      <c r="K34" s="34">
        <f t="shared" si="3"/>
        <v>7000</v>
      </c>
      <c r="L34" s="34">
        <f t="shared" si="3"/>
        <v>7000</v>
      </c>
      <c r="M34" s="34">
        <f t="shared" si="3"/>
        <v>7000</v>
      </c>
      <c r="N34" s="34">
        <f t="shared" si="3"/>
        <v>7000</v>
      </c>
      <c r="O34" s="34">
        <f t="shared" si="3"/>
        <v>7000</v>
      </c>
      <c r="P34" s="34">
        <f t="shared" si="3"/>
        <v>7000</v>
      </c>
      <c r="Q34" s="34">
        <f t="shared" si="3"/>
        <v>7000</v>
      </c>
      <c r="R34" s="34">
        <f t="shared" si="3"/>
        <v>7000</v>
      </c>
      <c r="S34" s="34">
        <f t="shared" si="3"/>
        <v>7000</v>
      </c>
      <c r="T34" s="34">
        <f t="shared" si="3"/>
        <v>7000</v>
      </c>
      <c r="U34" s="59"/>
      <c r="V34" s="34">
        <f t="shared" si="2"/>
        <v>91000</v>
      </c>
    </row>
    <row r="35" spans="3:22" x14ac:dyDescent="0.3">
      <c r="C35" s="83"/>
      <c r="D35" s="50" t="s">
        <v>18</v>
      </c>
      <c r="E35" s="51">
        <v>0</v>
      </c>
      <c r="F35" s="51">
        <f>+SUM(F19:F34)</f>
        <v>11200</v>
      </c>
      <c r="G35" s="51">
        <f t="shared" ref="G35:T35" si="4">+SUM(G19:G34)</f>
        <v>6200</v>
      </c>
      <c r="H35" s="51">
        <f t="shared" si="4"/>
        <v>7000</v>
      </c>
      <c r="I35" s="51">
        <f t="shared" si="4"/>
        <v>7000</v>
      </c>
      <c r="J35" s="51">
        <f t="shared" si="4"/>
        <v>7326</v>
      </c>
      <c r="K35" s="51">
        <f t="shared" si="4"/>
        <v>11590</v>
      </c>
      <c r="L35" s="51">
        <f t="shared" si="4"/>
        <v>12875.2</v>
      </c>
      <c r="M35" s="51">
        <f t="shared" si="4"/>
        <v>7000</v>
      </c>
      <c r="N35" s="51">
        <f t="shared" si="4"/>
        <v>7000</v>
      </c>
      <c r="O35" s="51">
        <f t="shared" si="4"/>
        <v>7000</v>
      </c>
      <c r="P35" s="51">
        <f t="shared" si="4"/>
        <v>8961</v>
      </c>
      <c r="Q35" s="51">
        <f t="shared" si="4"/>
        <v>7000</v>
      </c>
      <c r="R35" s="51">
        <f t="shared" si="4"/>
        <v>11240</v>
      </c>
      <c r="S35" s="51">
        <f t="shared" si="4"/>
        <v>13584.64</v>
      </c>
      <c r="T35" s="51">
        <f t="shared" si="4"/>
        <v>7000</v>
      </c>
      <c r="U35" s="45"/>
      <c r="V35" s="51">
        <f>+SUM(F35:T35)</f>
        <v>131976.84</v>
      </c>
    </row>
    <row r="36" spans="3:22" x14ac:dyDescent="0.3">
      <c r="C36" s="81" t="s">
        <v>7</v>
      </c>
      <c r="D36" s="19" t="s">
        <v>102</v>
      </c>
      <c r="E36" s="20"/>
      <c r="F36" s="20"/>
      <c r="G36" s="20">
        <v>200</v>
      </c>
      <c r="H36" s="20">
        <f>+G36</f>
        <v>200</v>
      </c>
      <c r="I36" s="20">
        <f t="shared" ref="I36:T36" si="5">+H36</f>
        <v>200</v>
      </c>
      <c r="J36" s="20">
        <f t="shared" si="5"/>
        <v>200</v>
      </c>
      <c r="K36" s="20">
        <f t="shared" si="5"/>
        <v>200</v>
      </c>
      <c r="L36" s="20">
        <f t="shared" si="5"/>
        <v>200</v>
      </c>
      <c r="M36" s="20">
        <f t="shared" si="5"/>
        <v>200</v>
      </c>
      <c r="N36" s="20">
        <f t="shared" si="5"/>
        <v>200</v>
      </c>
      <c r="O36" s="20">
        <f t="shared" si="5"/>
        <v>200</v>
      </c>
      <c r="P36" s="20">
        <f t="shared" si="5"/>
        <v>200</v>
      </c>
      <c r="Q36" s="20">
        <f t="shared" si="5"/>
        <v>200</v>
      </c>
      <c r="R36" s="20">
        <f t="shared" si="5"/>
        <v>200</v>
      </c>
      <c r="S36" s="20">
        <f t="shared" si="5"/>
        <v>200</v>
      </c>
      <c r="T36" s="20">
        <f t="shared" si="5"/>
        <v>200</v>
      </c>
      <c r="U36" s="45"/>
      <c r="V36" s="20">
        <f>+SUM(F36:T36)</f>
        <v>2800</v>
      </c>
    </row>
    <row r="37" spans="3:22" x14ac:dyDescent="0.3">
      <c r="C37" s="82"/>
      <c r="D37" s="19" t="s">
        <v>105</v>
      </c>
      <c r="E37" s="20"/>
      <c r="F37" s="20">
        <v>330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45"/>
      <c r="V37" s="20">
        <f t="shared" ref="V37:V61" si="6">+SUM(F37:T37)</f>
        <v>330</v>
      </c>
    </row>
    <row r="38" spans="3:22" x14ac:dyDescent="0.3">
      <c r="C38" s="82"/>
      <c r="D38" s="19" t="s">
        <v>31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>
        <v>758.25095326069072</v>
      </c>
      <c r="P38" s="20"/>
      <c r="Q38" s="20"/>
      <c r="R38" s="20"/>
      <c r="S38" s="20"/>
      <c r="T38" s="20"/>
      <c r="U38" s="45"/>
      <c r="V38" s="20">
        <f t="shared" si="6"/>
        <v>758.25095326069072</v>
      </c>
    </row>
    <row r="39" spans="3:22" x14ac:dyDescent="0.3">
      <c r="C39" s="82"/>
      <c r="D39" s="19" t="s">
        <v>32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905.14024400002631</v>
      </c>
      <c r="Q39" s="20"/>
      <c r="R39" s="20"/>
      <c r="S39" s="20"/>
      <c r="T39" s="20"/>
      <c r="U39" s="45"/>
      <c r="V39" s="20">
        <f t="shared" si="6"/>
        <v>905.14024400002631</v>
      </c>
    </row>
    <row r="40" spans="3:22" x14ac:dyDescent="0.3">
      <c r="C40" s="82"/>
      <c r="D40" s="19" t="s">
        <v>41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>
        <v>1370.1</v>
      </c>
      <c r="R40" s="20"/>
      <c r="S40" s="20"/>
      <c r="T40" s="20"/>
      <c r="U40" s="45"/>
      <c r="V40" s="20">
        <f t="shared" si="6"/>
        <v>1370.1</v>
      </c>
    </row>
    <row r="41" spans="3:22" x14ac:dyDescent="0.3">
      <c r="C41" s="82"/>
      <c r="D41" s="19" t="s">
        <v>42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1250</v>
      </c>
      <c r="R41" s="20"/>
      <c r="S41" s="20"/>
      <c r="T41" s="20"/>
      <c r="U41" s="45"/>
      <c r="V41" s="20">
        <f t="shared" si="6"/>
        <v>1250</v>
      </c>
    </row>
    <row r="42" spans="3:22" x14ac:dyDescent="0.3">
      <c r="C42" s="82"/>
      <c r="D42" s="19" t="s">
        <v>43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900</v>
      </c>
      <c r="R42" s="20"/>
      <c r="S42" s="20"/>
      <c r="T42" s="20"/>
      <c r="U42" s="45"/>
      <c r="V42" s="20">
        <f t="shared" si="6"/>
        <v>900</v>
      </c>
    </row>
    <row r="43" spans="3:22" x14ac:dyDescent="0.3">
      <c r="C43" s="82"/>
      <c r="D43" s="19" t="s">
        <v>101</v>
      </c>
      <c r="E43" s="20"/>
      <c r="F43" s="20"/>
      <c r="G43" s="20"/>
      <c r="H43" s="20">
        <v>3000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45"/>
      <c r="V43" s="20">
        <f t="shared" si="6"/>
        <v>3000</v>
      </c>
    </row>
    <row r="44" spans="3:22" x14ac:dyDescent="0.3">
      <c r="C44" s="82"/>
      <c r="D44" s="19" t="s">
        <v>99</v>
      </c>
      <c r="E44" s="20"/>
      <c r="F44" s="20"/>
      <c r="G44" s="20"/>
      <c r="H44" s="20">
        <f>100000000/36800/1.2</f>
        <v>2264.4927536231885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45"/>
      <c r="V44" s="20">
        <f t="shared" si="6"/>
        <v>2264.4927536231885</v>
      </c>
    </row>
    <row r="45" spans="3:22" x14ac:dyDescent="0.3">
      <c r="C45" s="82"/>
      <c r="D45" s="19" t="s">
        <v>28</v>
      </c>
      <c r="E45" s="20" t="s">
        <v>22</v>
      </c>
      <c r="F45" s="20"/>
      <c r="G45" s="20"/>
      <c r="H45" s="20"/>
      <c r="I45" s="20"/>
      <c r="J45" s="20"/>
      <c r="K45" s="20"/>
      <c r="L45" s="20"/>
      <c r="M45" s="20"/>
      <c r="N45" s="20">
        <v>777.55382891905617</v>
      </c>
      <c r="O45" s="20"/>
      <c r="P45" s="20"/>
      <c r="Q45" s="20"/>
      <c r="R45" s="20"/>
      <c r="S45" s="20"/>
      <c r="T45" s="20"/>
      <c r="U45" s="45"/>
      <c r="V45" s="20">
        <f t="shared" si="6"/>
        <v>777.55382891905617</v>
      </c>
    </row>
    <row r="46" spans="3:22" x14ac:dyDescent="0.3">
      <c r="C46" s="82"/>
      <c r="D46" s="19" t="s">
        <v>29</v>
      </c>
      <c r="E46" s="20" t="s">
        <v>22</v>
      </c>
      <c r="F46" s="20"/>
      <c r="G46" s="20"/>
      <c r="H46" s="20"/>
      <c r="I46" s="20"/>
      <c r="J46" s="20"/>
      <c r="K46" s="20"/>
      <c r="L46" s="20"/>
      <c r="M46" s="20"/>
      <c r="N46" s="20">
        <v>1937.4717074651894</v>
      </c>
      <c r="O46" s="20"/>
      <c r="P46" s="20"/>
      <c r="Q46" s="20"/>
      <c r="R46" s="20"/>
      <c r="S46" s="20"/>
      <c r="T46" s="20"/>
      <c r="U46" s="45"/>
      <c r="V46" s="20">
        <f t="shared" si="6"/>
        <v>1937.4717074651894</v>
      </c>
    </row>
    <row r="47" spans="3:22" x14ac:dyDescent="0.3">
      <c r="C47" s="82"/>
      <c r="D47" s="19" t="s">
        <v>14</v>
      </c>
      <c r="E47" s="20"/>
      <c r="F47" s="20"/>
      <c r="G47" s="20"/>
      <c r="H47" s="20"/>
      <c r="I47" s="20"/>
      <c r="J47" s="20"/>
      <c r="K47" s="20"/>
      <c r="L47" s="20"/>
      <c r="M47" s="20"/>
      <c r="N47" s="20">
        <v>1179.47778879509</v>
      </c>
      <c r="O47" s="20"/>
      <c r="P47" s="20"/>
      <c r="Q47" s="20"/>
      <c r="R47" s="20"/>
      <c r="S47" s="20"/>
      <c r="T47" s="20"/>
      <c r="U47" s="45"/>
      <c r="V47" s="20">
        <f t="shared" si="6"/>
        <v>1179.47778879509</v>
      </c>
    </row>
    <row r="48" spans="3:22" x14ac:dyDescent="0.3">
      <c r="C48" s="82"/>
      <c r="D48" s="19" t="s">
        <v>27</v>
      </c>
      <c r="E48" s="20" t="s">
        <v>22</v>
      </c>
      <c r="F48" s="20"/>
      <c r="G48" s="20"/>
      <c r="H48" s="20"/>
      <c r="I48" s="20"/>
      <c r="J48" s="20"/>
      <c r="K48" s="20">
        <v>1284.7947392070291</v>
      </c>
      <c r="L48" s="20"/>
      <c r="M48" s="20"/>
      <c r="N48" s="20"/>
      <c r="O48" s="20"/>
      <c r="P48" s="20"/>
      <c r="Q48" s="20"/>
      <c r="R48" s="20"/>
      <c r="S48" s="20"/>
      <c r="T48" s="20"/>
      <c r="U48" s="45"/>
      <c r="V48" s="20">
        <f t="shared" si="6"/>
        <v>1284.7947392070291</v>
      </c>
    </row>
    <row r="49" spans="3:22" x14ac:dyDescent="0.3">
      <c r="C49" s="82"/>
      <c r="D49" s="19" t="s">
        <v>23</v>
      </c>
      <c r="E49" s="20" t="s">
        <v>21</v>
      </c>
      <c r="F49" s="20"/>
      <c r="G49" s="20"/>
      <c r="H49" s="20"/>
      <c r="I49" s="20"/>
      <c r="J49" s="20"/>
      <c r="K49" s="20"/>
      <c r="L49" s="20"/>
      <c r="M49" s="20"/>
      <c r="N49" s="20">
        <v>1590.7278236895932</v>
      </c>
      <c r="O49" s="20"/>
      <c r="P49" s="20"/>
      <c r="Q49" s="20"/>
      <c r="R49" s="20"/>
      <c r="S49" s="20"/>
      <c r="T49" s="20"/>
      <c r="U49" s="45"/>
      <c r="V49" s="20">
        <f t="shared" si="6"/>
        <v>1590.7278236895932</v>
      </c>
    </row>
    <row r="50" spans="3:22" x14ac:dyDescent="0.3">
      <c r="C50" s="82"/>
      <c r="D50" s="19" t="s">
        <v>26</v>
      </c>
      <c r="E50" s="20" t="s">
        <v>22</v>
      </c>
      <c r="F50" s="20"/>
      <c r="G50" s="20"/>
      <c r="H50" s="20"/>
      <c r="I50" s="20">
        <v>341.29347680492879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20">
        <f t="shared" si="6"/>
        <v>341.29347680492879</v>
      </c>
    </row>
    <row r="51" spans="3:22" x14ac:dyDescent="0.3">
      <c r="C51" s="82"/>
      <c r="D51" s="19" t="s">
        <v>57</v>
      </c>
      <c r="E51" s="20"/>
      <c r="F51" s="20"/>
      <c r="G51" s="20"/>
      <c r="H51" s="20">
        <v>100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100</v>
      </c>
    </row>
    <row r="52" spans="3:22" x14ac:dyDescent="0.3">
      <c r="C52" s="82"/>
      <c r="D52" s="19" t="s">
        <v>77</v>
      </c>
      <c r="E52" s="20"/>
      <c r="F52" s="20"/>
      <c r="G52" s="20"/>
      <c r="H52" s="20"/>
      <c r="I52" s="20"/>
      <c r="J52" s="20">
        <f>6.16*712</f>
        <v>4385.92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45"/>
      <c r="V52" s="20">
        <f t="shared" si="6"/>
        <v>4385.92</v>
      </c>
    </row>
    <row r="53" spans="3:22" x14ac:dyDescent="0.3">
      <c r="C53" s="82"/>
      <c r="D53" s="19" t="s">
        <v>67</v>
      </c>
      <c r="E53" s="20"/>
      <c r="F53" s="20"/>
      <c r="G53" s="20"/>
      <c r="H53" s="20">
        <v>1087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V53" s="39">
        <f t="shared" si="6"/>
        <v>1087</v>
      </c>
    </row>
    <row r="54" spans="3:22" x14ac:dyDescent="0.3">
      <c r="C54" s="82"/>
      <c r="D54" s="19" t="s">
        <v>68</v>
      </c>
      <c r="E54" s="20"/>
      <c r="F54" s="20"/>
      <c r="G54" s="20"/>
      <c r="H54" s="20">
        <v>200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45"/>
      <c r="V54" s="20">
        <f t="shared" si="6"/>
        <v>200</v>
      </c>
    </row>
    <row r="55" spans="3:22" x14ac:dyDescent="0.3">
      <c r="C55" s="82"/>
      <c r="D55" s="19" t="s">
        <v>69</v>
      </c>
      <c r="E55" s="20"/>
      <c r="F55" s="20"/>
      <c r="G55" s="20"/>
      <c r="H55" s="20"/>
      <c r="I55" s="20">
        <v>408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20">
        <f t="shared" si="6"/>
        <v>408</v>
      </c>
    </row>
    <row r="56" spans="3:22" x14ac:dyDescent="0.3">
      <c r="C56" s="82"/>
      <c r="D56" s="19" t="s">
        <v>70</v>
      </c>
      <c r="E56" s="20"/>
      <c r="F56" s="20"/>
      <c r="G56" s="20"/>
      <c r="H56" s="20"/>
      <c r="I56" s="20">
        <v>226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226</v>
      </c>
    </row>
    <row r="57" spans="3:22" ht="13.95" customHeight="1" x14ac:dyDescent="0.3">
      <c r="C57" s="82"/>
      <c r="D57" s="19" t="s">
        <v>71</v>
      </c>
      <c r="E57" s="20"/>
      <c r="F57" s="20"/>
      <c r="G57" s="20"/>
      <c r="H57" s="20"/>
      <c r="I57" s="20"/>
      <c r="J57" s="20">
        <v>489</v>
      </c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489</v>
      </c>
    </row>
    <row r="58" spans="3:22" x14ac:dyDescent="0.3">
      <c r="C58" s="82"/>
      <c r="D58" s="19" t="s">
        <v>72</v>
      </c>
      <c r="E58" s="20"/>
      <c r="F58" s="20"/>
      <c r="G58" s="20"/>
      <c r="H58" s="20"/>
      <c r="I58" s="20">
        <v>226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226</v>
      </c>
    </row>
    <row r="59" spans="3:22" x14ac:dyDescent="0.3">
      <c r="C59" s="82"/>
      <c r="D59" s="19" t="s">
        <v>73</v>
      </c>
      <c r="E59" s="20"/>
      <c r="F59" s="20"/>
      <c r="G59" s="20"/>
      <c r="H59" s="20"/>
      <c r="I59" s="20"/>
      <c r="J59" s="20">
        <v>226</v>
      </c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226</v>
      </c>
    </row>
    <row r="60" spans="3:22" x14ac:dyDescent="0.3">
      <c r="C60" s="82"/>
      <c r="D60" s="58" t="s">
        <v>123</v>
      </c>
      <c r="E60" s="34"/>
      <c r="F60" s="34">
        <v>3500</v>
      </c>
      <c r="G60" s="34">
        <v>3500</v>
      </c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59"/>
      <c r="V60" s="34">
        <f t="shared" si="6"/>
        <v>7000</v>
      </c>
    </row>
    <row r="61" spans="3:22" x14ac:dyDescent="0.3">
      <c r="C61" s="82"/>
      <c r="D61" s="58" t="s">
        <v>103</v>
      </c>
      <c r="E61" s="60"/>
      <c r="F61" s="34"/>
      <c r="G61" s="34"/>
      <c r="H61" s="34">
        <v>5250</v>
      </c>
      <c r="I61" s="34">
        <f>+H61</f>
        <v>5250</v>
      </c>
      <c r="J61" s="34">
        <f t="shared" ref="J61:T61" si="7">+I61</f>
        <v>5250</v>
      </c>
      <c r="K61" s="34">
        <f t="shared" si="7"/>
        <v>5250</v>
      </c>
      <c r="L61" s="34">
        <f t="shared" si="7"/>
        <v>5250</v>
      </c>
      <c r="M61" s="34">
        <f t="shared" si="7"/>
        <v>5250</v>
      </c>
      <c r="N61" s="34">
        <f t="shared" si="7"/>
        <v>5250</v>
      </c>
      <c r="O61" s="34">
        <f t="shared" si="7"/>
        <v>5250</v>
      </c>
      <c r="P61" s="34">
        <f t="shared" si="7"/>
        <v>5250</v>
      </c>
      <c r="Q61" s="34">
        <f t="shared" si="7"/>
        <v>5250</v>
      </c>
      <c r="R61" s="34">
        <f t="shared" si="7"/>
        <v>5250</v>
      </c>
      <c r="S61" s="34">
        <f t="shared" si="7"/>
        <v>5250</v>
      </c>
      <c r="T61" s="34">
        <f t="shared" si="7"/>
        <v>5250</v>
      </c>
      <c r="U61" s="59"/>
      <c r="V61" s="34">
        <f t="shared" si="6"/>
        <v>68250</v>
      </c>
    </row>
    <row r="62" spans="3:22" x14ac:dyDescent="0.3">
      <c r="C62" s="83"/>
      <c r="D62" s="50" t="s">
        <v>19</v>
      </c>
      <c r="E62" s="51">
        <v>0</v>
      </c>
      <c r="F62" s="51">
        <f t="shared" ref="F62:T62" si="8">+SUM(F36:F61)</f>
        <v>3830</v>
      </c>
      <c r="G62" s="51">
        <f t="shared" si="8"/>
        <v>3700</v>
      </c>
      <c r="H62" s="51">
        <f t="shared" si="8"/>
        <v>12101.492753623188</v>
      </c>
      <c r="I62" s="51">
        <f t="shared" si="8"/>
        <v>6651.293476804929</v>
      </c>
      <c r="J62" s="51">
        <f t="shared" si="8"/>
        <v>10550.92</v>
      </c>
      <c r="K62" s="51">
        <f t="shared" si="8"/>
        <v>6734.7947392070291</v>
      </c>
      <c r="L62" s="51">
        <f t="shared" si="8"/>
        <v>5450</v>
      </c>
      <c r="M62" s="51">
        <f t="shared" si="8"/>
        <v>5450</v>
      </c>
      <c r="N62" s="51">
        <f t="shared" si="8"/>
        <v>10935.231148868928</v>
      </c>
      <c r="O62" s="51">
        <f t="shared" si="8"/>
        <v>6208.2509532606909</v>
      </c>
      <c r="P62" s="51">
        <f t="shared" si="8"/>
        <v>6355.1402440000265</v>
      </c>
      <c r="Q62" s="51">
        <f t="shared" si="8"/>
        <v>8970.1</v>
      </c>
      <c r="R62" s="51">
        <f t="shared" si="8"/>
        <v>5450</v>
      </c>
      <c r="S62" s="51">
        <f t="shared" si="8"/>
        <v>5450</v>
      </c>
      <c r="T62" s="51">
        <f t="shared" si="8"/>
        <v>5450</v>
      </c>
      <c r="U62" s="45"/>
      <c r="V62" s="51">
        <f>+SUM(F62:T62)</f>
        <v>103287.22331576479</v>
      </c>
    </row>
    <row r="63" spans="3:22" x14ac:dyDescent="0.3">
      <c r="C63" s="81" t="s">
        <v>8</v>
      </c>
      <c r="D63" s="19" t="s">
        <v>58</v>
      </c>
      <c r="E63" s="20"/>
      <c r="F63" s="20"/>
      <c r="G63" s="20"/>
      <c r="H63" s="20">
        <f>61195.9668057236/110*160</f>
        <v>89012.315353779777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45"/>
      <c r="V63" s="20">
        <f>+SUM(F63:T63)</f>
        <v>89012.315353779777</v>
      </c>
    </row>
    <row r="64" spans="3:22" x14ac:dyDescent="0.3">
      <c r="C64" s="82"/>
      <c r="D64" s="19" t="s">
        <v>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>
        <v>350</v>
      </c>
      <c r="R64" s="20"/>
      <c r="S64" s="20"/>
      <c r="T64" s="20"/>
      <c r="U64" s="45"/>
      <c r="V64" s="20">
        <f>+SUM(F64:T64)</f>
        <v>350</v>
      </c>
    </row>
    <row r="65" spans="3:23" x14ac:dyDescent="0.3">
      <c r="C65" s="82"/>
      <c r="D65" s="19" t="s">
        <v>107</v>
      </c>
      <c r="E65" s="20"/>
      <c r="F65" s="20"/>
      <c r="G65" s="20">
        <v>6580</v>
      </c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45"/>
      <c r="V65" s="20">
        <f t="shared" ref="V65:V68" si="9">+SUM(F65:T65)</f>
        <v>6580</v>
      </c>
    </row>
    <row r="66" spans="3:23" x14ac:dyDescent="0.3">
      <c r="C66" s="82"/>
      <c r="D66" s="66" t="s">
        <v>106</v>
      </c>
      <c r="E66" s="67"/>
      <c r="F66" s="67"/>
      <c r="G66" s="67"/>
      <c r="H66" s="68">
        <f>2*100000000/36800/1.2</f>
        <v>4528.985507246377</v>
      </c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9"/>
      <c r="V66" s="67">
        <f t="shared" si="9"/>
        <v>4528.985507246377</v>
      </c>
    </row>
    <row r="67" spans="3:23" x14ac:dyDescent="0.3">
      <c r="C67" s="82"/>
      <c r="D67" s="66" t="s">
        <v>108</v>
      </c>
      <c r="E67" s="67"/>
      <c r="F67" s="67"/>
      <c r="G67" s="67"/>
      <c r="H67" s="68">
        <f>150000000/36800/1.2</f>
        <v>3396.7391304347825</v>
      </c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9"/>
      <c r="V67" s="67">
        <f t="shared" si="9"/>
        <v>3396.7391304347825</v>
      </c>
    </row>
    <row r="68" spans="3:23" x14ac:dyDescent="0.3">
      <c r="C68" s="82"/>
      <c r="D68" s="66" t="s">
        <v>109</v>
      </c>
      <c r="E68" s="67"/>
      <c r="F68" s="67"/>
      <c r="G68" s="67"/>
      <c r="H68" s="68">
        <f>10000000/36800/1.2</f>
        <v>226.44927536231887</v>
      </c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9"/>
      <c r="V68" s="70">
        <f t="shared" si="9"/>
        <v>226.44927536231887</v>
      </c>
    </row>
    <row r="69" spans="3:23" x14ac:dyDescent="0.3">
      <c r="C69" s="83"/>
      <c r="D69" s="50" t="s">
        <v>20</v>
      </c>
      <c r="E69" s="51">
        <v>0</v>
      </c>
      <c r="F69" s="51">
        <f>+SUM(F63:F68)</f>
        <v>0</v>
      </c>
      <c r="G69" s="51">
        <f t="shared" ref="G69:T69" si="10">+SUM(G63:G68)</f>
        <v>6580</v>
      </c>
      <c r="H69" s="51">
        <f t="shared" si="10"/>
        <v>97164.489266823264</v>
      </c>
      <c r="I69" s="51">
        <f t="shared" si="10"/>
        <v>0</v>
      </c>
      <c r="J69" s="51">
        <f t="shared" si="10"/>
        <v>0</v>
      </c>
      <c r="K69" s="51">
        <f t="shared" si="10"/>
        <v>0</v>
      </c>
      <c r="L69" s="51">
        <f t="shared" si="10"/>
        <v>0</v>
      </c>
      <c r="M69" s="51">
        <f t="shared" si="10"/>
        <v>0</v>
      </c>
      <c r="N69" s="51">
        <f t="shared" si="10"/>
        <v>0</v>
      </c>
      <c r="O69" s="51">
        <f t="shared" si="10"/>
        <v>0</v>
      </c>
      <c r="P69" s="51">
        <f t="shared" si="10"/>
        <v>0</v>
      </c>
      <c r="Q69" s="51">
        <f t="shared" si="10"/>
        <v>350</v>
      </c>
      <c r="R69" s="51">
        <f t="shared" si="10"/>
        <v>0</v>
      </c>
      <c r="S69" s="51">
        <f t="shared" si="10"/>
        <v>0</v>
      </c>
      <c r="T69" s="51">
        <f t="shared" si="10"/>
        <v>0</v>
      </c>
      <c r="U69" s="45"/>
      <c r="V69" s="51">
        <f>+SUM(F69:T69)</f>
        <v>104094.48926682326</v>
      </c>
    </row>
    <row r="70" spans="3:23" x14ac:dyDescent="0.3">
      <c r="C70" s="48"/>
      <c r="D70" s="53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45"/>
      <c r="V70" s="39"/>
    </row>
    <row r="71" spans="3:23" x14ac:dyDescent="0.3">
      <c r="C71" s="54"/>
      <c r="D71" s="54" t="s">
        <v>10</v>
      </c>
      <c r="E71" s="55">
        <v>0</v>
      </c>
      <c r="F71" s="55">
        <f>+F69+F62+F35+F18</f>
        <v>15030</v>
      </c>
      <c r="G71" s="55">
        <f t="shared" ref="G71:T71" si="11">+G69+G62+G35+G18</f>
        <v>17657</v>
      </c>
      <c r="H71" s="55">
        <f t="shared" si="11"/>
        <v>116265.98202044645</v>
      </c>
      <c r="I71" s="55">
        <f t="shared" si="11"/>
        <v>13651.293476804929</v>
      </c>
      <c r="J71" s="55">
        <f t="shared" si="11"/>
        <v>17876.919999999998</v>
      </c>
      <c r="K71" s="55">
        <f t="shared" si="11"/>
        <v>18324.794739207027</v>
      </c>
      <c r="L71" s="55">
        <f t="shared" si="11"/>
        <v>18325.2</v>
      </c>
      <c r="M71" s="55">
        <f t="shared" si="11"/>
        <v>19736.523883052643</v>
      </c>
      <c r="N71" s="55">
        <f t="shared" si="11"/>
        <v>34294.330487499668</v>
      </c>
      <c r="O71" s="55">
        <f t="shared" si="11"/>
        <v>13208.250953260691</v>
      </c>
      <c r="P71" s="55">
        <f t="shared" si="11"/>
        <v>15316.140244000027</v>
      </c>
      <c r="Q71" s="55">
        <f t="shared" si="11"/>
        <v>16320.1</v>
      </c>
      <c r="R71" s="55">
        <f t="shared" si="11"/>
        <v>16690</v>
      </c>
      <c r="S71" s="55">
        <f t="shared" si="11"/>
        <v>19034.64</v>
      </c>
      <c r="T71" s="55">
        <f t="shared" si="11"/>
        <v>12450</v>
      </c>
      <c r="U71" s="45"/>
      <c r="V71" s="55">
        <f>+V69+V62+V35+V18</f>
        <v>364181.17580427142</v>
      </c>
      <c r="W71" s="56"/>
    </row>
    <row r="72" spans="3:23" x14ac:dyDescent="0.3"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56"/>
    </row>
    <row r="73" spans="3:23" x14ac:dyDescent="0.3">
      <c r="C73" s="61" t="s">
        <v>37</v>
      </c>
      <c r="D73" s="62" t="s">
        <v>113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3" x14ac:dyDescent="0.3">
      <c r="C74" s="45"/>
      <c r="D74" s="62" t="s">
        <v>75</v>
      </c>
      <c r="E74" s="45"/>
      <c r="F74" s="63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3:23" x14ac:dyDescent="0.3">
      <c r="C75" s="45"/>
      <c r="D75" s="62" t="s">
        <v>114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</row>
    <row r="76" spans="3:23" x14ac:dyDescent="0.3">
      <c r="C76" s="45"/>
      <c r="D76" s="62" t="s">
        <v>115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</row>
    <row r="77" spans="3:23" x14ac:dyDescent="0.3">
      <c r="C77" s="45"/>
      <c r="D77" s="62" t="s">
        <v>104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</row>
    <row r="78" spans="3:23" x14ac:dyDescent="0.3">
      <c r="C78" s="45"/>
      <c r="D78" s="62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</row>
    <row r="79" spans="3:23" x14ac:dyDescent="0.3"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</row>
    <row r="80" spans="3:23" ht="15.6" x14ac:dyDescent="0.3"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89" t="s">
        <v>118</v>
      </c>
      <c r="N80" s="89"/>
      <c r="O80" s="89"/>
      <c r="P80" s="89"/>
      <c r="Q80" s="45"/>
      <c r="R80" s="45"/>
      <c r="S80" s="45"/>
      <c r="T80" s="45"/>
      <c r="U80" s="45"/>
      <c r="V80" s="45"/>
    </row>
    <row r="81" spans="3:22" ht="15.6" x14ac:dyDescent="0.3"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90" t="s">
        <v>116</v>
      </c>
      <c r="N81" s="90"/>
      <c r="O81" s="90"/>
      <c r="P81" s="90"/>
      <c r="Q81" s="45"/>
      <c r="R81" s="45"/>
      <c r="S81" s="45"/>
      <c r="T81" s="45"/>
      <c r="U81" s="45"/>
      <c r="V81" s="45"/>
    </row>
    <row r="82" spans="3:22" ht="15.6" x14ac:dyDescent="0.3">
      <c r="C82" s="45" t="s">
        <v>119</v>
      </c>
      <c r="D82" s="45"/>
      <c r="E82" s="45"/>
      <c r="F82" s="45"/>
      <c r="G82" s="45"/>
      <c r="H82" s="45"/>
      <c r="I82" s="45"/>
      <c r="J82" s="45"/>
      <c r="K82" s="45"/>
      <c r="L82" s="45"/>
      <c r="M82" s="90" t="s">
        <v>117</v>
      </c>
      <c r="N82" s="90"/>
      <c r="O82" s="90"/>
      <c r="P82" s="90"/>
      <c r="Q82" s="45"/>
      <c r="R82" s="45"/>
      <c r="S82" s="45"/>
      <c r="T82" s="45"/>
      <c r="U82" s="45"/>
      <c r="V82" s="45"/>
    </row>
    <row r="94" spans="3:22" x14ac:dyDescent="0.3">
      <c r="F94" s="42">
        <v>50898</v>
      </c>
      <c r="G94" s="42">
        <v>51679</v>
      </c>
      <c r="H94" s="42">
        <v>52459</v>
      </c>
      <c r="I94" s="42">
        <v>53238</v>
      </c>
      <c r="J94" s="42">
        <v>54017</v>
      </c>
    </row>
    <row r="95" spans="3:22" x14ac:dyDescent="0.3">
      <c r="F95" s="57">
        <f>+F71/F94</f>
        <v>0.2952964753035483</v>
      </c>
      <c r="G95" s="57">
        <f>+G71/G94</f>
        <v>0.3416668279184969</v>
      </c>
      <c r="H95" s="57">
        <f>+H71/H94</f>
        <v>2.2163209748650652</v>
      </c>
      <c r="I95" s="57">
        <f>+I71/I94</f>
        <v>0.25642010362532269</v>
      </c>
      <c r="J95" s="57">
        <f>+J71/J94</f>
        <v>0.3309498861469537</v>
      </c>
    </row>
  </sheetData>
  <mergeCells count="11">
    <mergeCell ref="C19:C35"/>
    <mergeCell ref="C8:C9"/>
    <mergeCell ref="D8:D9"/>
    <mergeCell ref="E8:T8"/>
    <mergeCell ref="V8:V9"/>
    <mergeCell ref="C10:C18"/>
    <mergeCell ref="C36:C62"/>
    <mergeCell ref="C63:C69"/>
    <mergeCell ref="M80:P80"/>
    <mergeCell ref="M81:P81"/>
    <mergeCell ref="M82:P82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D6DD0-1622-4E61-B5AB-D7875B1BED24}">
  <sheetPr>
    <pageSetUpPr fitToPage="1"/>
  </sheetPr>
  <dimension ref="C1:W95"/>
  <sheetViews>
    <sheetView topLeftCell="A40" zoomScaleNormal="100" workbookViewId="0">
      <selection activeCell="D60" sqref="D60:V61"/>
    </sheetView>
  </sheetViews>
  <sheetFormatPr baseColWidth="10" defaultColWidth="10.88671875" defaultRowHeight="13.2" x14ac:dyDescent="0.3"/>
  <cols>
    <col min="1" max="1" width="10.88671875" style="42"/>
    <col min="2" max="2" width="7.6640625" style="42" customWidth="1"/>
    <col min="3" max="3" width="11.33203125" style="42" customWidth="1"/>
    <col min="4" max="4" width="51" style="42" customWidth="1"/>
    <col min="5" max="5" width="1.44140625" style="42" hidden="1" customWidth="1"/>
    <col min="6" max="7" width="6" style="42" bestFit="1" customWidth="1"/>
    <col min="8" max="8" width="7" style="42" customWidth="1"/>
    <col min="9" max="11" width="6" style="42" bestFit="1" customWidth="1"/>
    <col min="12" max="12" width="6.109375" style="42" customWidth="1"/>
    <col min="13" max="18" width="6" style="42" bestFit="1" customWidth="1"/>
    <col min="19" max="20" width="5.44140625" style="42" customWidth="1"/>
    <col min="21" max="21" width="3.33203125" style="42" hidden="1" customWidth="1"/>
    <col min="22" max="22" width="8.109375" style="42" customWidth="1"/>
    <col min="23" max="16384" width="10.88671875" style="42"/>
  </cols>
  <sheetData>
    <row r="1" spans="3:23" x14ac:dyDescent="0.3">
      <c r="H1" s="42" t="s">
        <v>40</v>
      </c>
    </row>
    <row r="2" spans="3:23" x14ac:dyDescent="0.3">
      <c r="F2" s="43">
        <v>1</v>
      </c>
      <c r="G2" s="43">
        <v>2</v>
      </c>
      <c r="H2" s="43">
        <v>3</v>
      </c>
      <c r="I2" s="43">
        <v>4</v>
      </c>
      <c r="J2" s="43">
        <v>5</v>
      </c>
      <c r="K2" s="43">
        <v>6</v>
      </c>
      <c r="L2" s="43">
        <v>7</v>
      </c>
      <c r="M2" s="43">
        <v>8</v>
      </c>
      <c r="N2" s="43">
        <v>9</v>
      </c>
      <c r="O2" s="43">
        <v>10</v>
      </c>
      <c r="P2" s="43">
        <v>11</v>
      </c>
      <c r="Q2" s="43">
        <v>12</v>
      </c>
      <c r="R2" s="43">
        <v>13</v>
      </c>
      <c r="S2" s="43">
        <v>14</v>
      </c>
      <c r="T2" s="43">
        <v>15</v>
      </c>
    </row>
    <row r="3" spans="3:23" x14ac:dyDescent="0.3"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3:23" ht="14.4" x14ac:dyDescent="0.3">
      <c r="C4" s="64" t="s">
        <v>122</v>
      </c>
      <c r="D4" s="45"/>
      <c r="E4" s="4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45"/>
      <c r="V4" s="45"/>
    </row>
    <row r="5" spans="3:23" ht="14.4" x14ac:dyDescent="0.3">
      <c r="C5" s="64" t="s">
        <v>121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3:23" ht="14.4" x14ac:dyDescent="0.3">
      <c r="C6" s="6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3:23" x14ac:dyDescent="0.3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3:23" ht="14.4" customHeight="1" x14ac:dyDescent="0.3">
      <c r="C8" s="84" t="s">
        <v>1</v>
      </c>
      <c r="D8" s="84" t="s">
        <v>2</v>
      </c>
      <c r="E8" s="85" t="s">
        <v>3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45"/>
      <c r="V8" s="88" t="s">
        <v>16</v>
      </c>
    </row>
    <row r="9" spans="3:23" x14ac:dyDescent="0.3">
      <c r="C9" s="84"/>
      <c r="D9" s="84"/>
      <c r="E9" s="44">
        <v>2022</v>
      </c>
      <c r="F9" s="44">
        <v>2023</v>
      </c>
      <c r="G9" s="44">
        <v>2024</v>
      </c>
      <c r="H9" s="44">
        <v>2025</v>
      </c>
      <c r="I9" s="44">
        <v>2026</v>
      </c>
      <c r="J9" s="44">
        <v>2027</v>
      </c>
      <c r="K9" s="44">
        <v>2028</v>
      </c>
      <c r="L9" s="44">
        <v>2029</v>
      </c>
      <c r="M9" s="44">
        <v>2030</v>
      </c>
      <c r="N9" s="44">
        <v>2031</v>
      </c>
      <c r="O9" s="44">
        <v>2032</v>
      </c>
      <c r="P9" s="44">
        <v>2033</v>
      </c>
      <c r="Q9" s="44">
        <v>2034</v>
      </c>
      <c r="R9" s="44">
        <v>2035</v>
      </c>
      <c r="S9" s="44">
        <v>2036</v>
      </c>
      <c r="T9" s="44">
        <v>2037</v>
      </c>
      <c r="U9" s="45"/>
      <c r="V9" s="88"/>
    </row>
    <row r="10" spans="3:23" x14ac:dyDescent="0.3">
      <c r="C10" s="81" t="s">
        <v>4</v>
      </c>
      <c r="D10" s="46" t="s">
        <v>5</v>
      </c>
      <c r="E10" s="47"/>
      <c r="F10" s="47"/>
      <c r="G10" s="47"/>
      <c r="H10" s="47"/>
      <c r="I10" s="47"/>
      <c r="J10" s="47"/>
      <c r="K10" s="47"/>
      <c r="L10" s="47"/>
      <c r="M10" s="47">
        <v>7286.5238830526414</v>
      </c>
      <c r="N10" s="47"/>
      <c r="O10" s="47"/>
      <c r="P10" s="47"/>
      <c r="Q10" s="47"/>
      <c r="R10" s="47"/>
      <c r="S10" s="47"/>
      <c r="T10" s="47"/>
      <c r="U10" s="45"/>
      <c r="V10" s="47">
        <f t="shared" ref="V10:V17" si="0">+SUM(F10:T10)</f>
        <v>7286.5238830526414</v>
      </c>
    </row>
    <row r="11" spans="3:23" x14ac:dyDescent="0.3">
      <c r="C11" s="82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  <c r="N11" s="20">
        <v>15346.293113729069</v>
      </c>
      <c r="O11" s="20"/>
      <c r="P11" s="20"/>
      <c r="Q11" s="20"/>
      <c r="R11" s="20"/>
      <c r="S11" s="20"/>
      <c r="T11" s="20"/>
      <c r="U11" s="45"/>
      <c r="V11" s="20">
        <f t="shared" si="0"/>
        <v>15346.293113729069</v>
      </c>
    </row>
    <row r="12" spans="3:23" x14ac:dyDescent="0.3">
      <c r="C12" s="82"/>
      <c r="D12" s="19" t="s">
        <v>12</v>
      </c>
      <c r="E12" s="20"/>
      <c r="F12" s="20"/>
      <c r="G12" s="20"/>
      <c r="H12" s="20"/>
      <c r="I12" s="20"/>
      <c r="J12" s="20"/>
      <c r="K12" s="20"/>
      <c r="L12" s="20"/>
      <c r="M12" s="20"/>
      <c r="N12" s="20">
        <v>615.42715006181834</v>
      </c>
      <c r="O12" s="20"/>
      <c r="P12" s="20"/>
      <c r="Q12" s="20"/>
      <c r="R12" s="20"/>
      <c r="S12" s="20"/>
      <c r="T12" s="20"/>
      <c r="U12" s="45"/>
      <c r="V12" s="20">
        <f t="shared" si="0"/>
        <v>615.42715006181834</v>
      </c>
    </row>
    <row r="13" spans="3:23" x14ac:dyDescent="0.3">
      <c r="C13" s="82"/>
      <c r="D13" s="19" t="s">
        <v>13</v>
      </c>
      <c r="E13" s="20"/>
      <c r="F13" s="20"/>
      <c r="G13" s="20"/>
      <c r="H13" s="20"/>
      <c r="I13" s="20"/>
      <c r="J13" s="20"/>
      <c r="K13" s="20"/>
      <c r="L13" s="20"/>
      <c r="M13" s="20"/>
      <c r="N13" s="20">
        <v>397.37907483984725</v>
      </c>
      <c r="O13" s="20"/>
      <c r="P13" s="20"/>
      <c r="Q13" s="20"/>
      <c r="R13" s="20"/>
      <c r="S13" s="20"/>
      <c r="T13" s="20"/>
      <c r="U13" s="45"/>
      <c r="V13" s="20">
        <f t="shared" si="0"/>
        <v>397.37907483984725</v>
      </c>
    </row>
    <row r="14" spans="3:23" x14ac:dyDescent="0.3">
      <c r="C14" s="82"/>
      <c r="D14" s="19" t="s">
        <v>48</v>
      </c>
      <c r="E14" s="20"/>
      <c r="F14" s="20"/>
      <c r="G14" s="20">
        <v>511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45"/>
      <c r="V14" s="20">
        <f t="shared" si="0"/>
        <v>511</v>
      </c>
    </row>
    <row r="15" spans="3:23" x14ac:dyDescent="0.3">
      <c r="C15" s="82"/>
      <c r="D15" s="19" t="s">
        <v>49</v>
      </c>
      <c r="E15" s="20"/>
      <c r="F15" s="20"/>
      <c r="G15" s="20">
        <v>222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45"/>
      <c r="V15" s="20">
        <f t="shared" si="0"/>
        <v>222</v>
      </c>
    </row>
    <row r="16" spans="3:23" x14ac:dyDescent="0.3">
      <c r="C16" s="82"/>
      <c r="D16" s="19" t="s">
        <v>66</v>
      </c>
      <c r="E16" s="20"/>
      <c r="F16" s="20"/>
      <c r="G16" s="20">
        <v>222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45"/>
      <c r="V16" s="20">
        <f t="shared" si="0"/>
        <v>222</v>
      </c>
      <c r="W16" s="49"/>
    </row>
    <row r="17" spans="3:22" x14ac:dyDescent="0.3">
      <c r="C17" s="82"/>
      <c r="D17" s="19" t="s">
        <v>90</v>
      </c>
      <c r="E17" s="20"/>
      <c r="F17" s="20"/>
      <c r="G17" s="20">
        <v>222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45"/>
      <c r="V17" s="20">
        <f t="shared" si="0"/>
        <v>222</v>
      </c>
    </row>
    <row r="18" spans="3:22" x14ac:dyDescent="0.3">
      <c r="C18" s="83"/>
      <c r="D18" s="50" t="s">
        <v>17</v>
      </c>
      <c r="E18" s="51">
        <v>0</v>
      </c>
      <c r="F18" s="51">
        <f>+SUM(F10:F17)</f>
        <v>0</v>
      </c>
      <c r="G18" s="51">
        <f t="shared" ref="G18:T18" si="1">+SUM(G10:G17)</f>
        <v>1177</v>
      </c>
      <c r="H18" s="51">
        <f t="shared" si="1"/>
        <v>0</v>
      </c>
      <c r="I18" s="51">
        <f t="shared" si="1"/>
        <v>0</v>
      </c>
      <c r="J18" s="51">
        <f t="shared" si="1"/>
        <v>0</v>
      </c>
      <c r="K18" s="51">
        <f t="shared" si="1"/>
        <v>0</v>
      </c>
      <c r="L18" s="51">
        <f t="shared" si="1"/>
        <v>0</v>
      </c>
      <c r="M18" s="51">
        <f t="shared" si="1"/>
        <v>7286.5238830526414</v>
      </c>
      <c r="N18" s="51">
        <f t="shared" si="1"/>
        <v>16359.099338630735</v>
      </c>
      <c r="O18" s="51">
        <f t="shared" si="1"/>
        <v>0</v>
      </c>
      <c r="P18" s="51">
        <f t="shared" si="1"/>
        <v>0</v>
      </c>
      <c r="Q18" s="51">
        <f t="shared" si="1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  <c r="U18" s="45"/>
      <c r="V18" s="51">
        <f>+SUM(V10:V17)</f>
        <v>24822.623221683374</v>
      </c>
    </row>
    <row r="19" spans="3:22" x14ac:dyDescent="0.3">
      <c r="C19" s="81" t="s">
        <v>6</v>
      </c>
      <c r="D19" s="19" t="s">
        <v>61</v>
      </c>
      <c r="E19" s="20"/>
      <c r="F19" s="20">
        <v>5600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5"/>
      <c r="V19" s="20">
        <f>+SUM(F19:T19)</f>
        <v>5600</v>
      </c>
    </row>
    <row r="20" spans="3:22" x14ac:dyDescent="0.3">
      <c r="C20" s="82"/>
      <c r="D20" s="19" t="s">
        <v>33</v>
      </c>
      <c r="E20" s="20"/>
      <c r="F20" s="20"/>
      <c r="G20" s="20">
        <v>600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45"/>
      <c r="V20" s="20">
        <f t="shared" ref="V20:V34" si="2">+SUM(F20:T20)</f>
        <v>600</v>
      </c>
    </row>
    <row r="21" spans="3:22" x14ac:dyDescent="0.3">
      <c r="C21" s="82"/>
      <c r="D21" s="19" t="s">
        <v>79</v>
      </c>
      <c r="E21" s="20"/>
      <c r="F21" s="20"/>
      <c r="G21" s="20"/>
      <c r="H21" s="20"/>
      <c r="I21" s="20"/>
      <c r="J21" s="20"/>
      <c r="K21" s="20">
        <f>4.59*1000</f>
        <v>4590</v>
      </c>
      <c r="L21" s="20"/>
      <c r="M21" s="20"/>
      <c r="N21" s="20"/>
      <c r="O21" s="20"/>
      <c r="P21" s="20"/>
      <c r="Q21" s="20"/>
      <c r="R21" s="20"/>
      <c r="S21" s="20"/>
      <c r="T21" s="20"/>
      <c r="U21" s="45"/>
      <c r="V21" s="20">
        <f t="shared" si="2"/>
        <v>4590</v>
      </c>
    </row>
    <row r="22" spans="3:22" x14ac:dyDescent="0.3">
      <c r="C22" s="82"/>
      <c r="D22" s="19" t="s">
        <v>80</v>
      </c>
      <c r="E22" s="20"/>
      <c r="F22" s="20"/>
      <c r="G22" s="20"/>
      <c r="H22" s="20"/>
      <c r="I22" s="20"/>
      <c r="J22" s="20"/>
      <c r="K22" s="20"/>
      <c r="L22" s="20">
        <f>4.59*710</f>
        <v>3258.9</v>
      </c>
      <c r="M22" s="20"/>
      <c r="N22" s="20"/>
      <c r="O22" s="20"/>
      <c r="P22" s="20"/>
      <c r="Q22" s="20"/>
      <c r="R22" s="20"/>
      <c r="S22" s="20"/>
      <c r="T22" s="20"/>
      <c r="U22" s="45"/>
      <c r="V22" s="20">
        <f t="shared" si="2"/>
        <v>3258.9</v>
      </c>
    </row>
    <row r="23" spans="3:22" x14ac:dyDescent="0.3">
      <c r="C23" s="82"/>
      <c r="D23" s="19" t="s">
        <v>81</v>
      </c>
      <c r="E23" s="20"/>
      <c r="F23" s="20"/>
      <c r="G23" s="20"/>
      <c r="H23" s="20"/>
      <c r="I23" s="20"/>
      <c r="J23" s="20"/>
      <c r="K23" s="20"/>
      <c r="L23" s="20">
        <f>240*4.59</f>
        <v>1101.5999999999999</v>
      </c>
      <c r="M23" s="20"/>
      <c r="N23" s="20"/>
      <c r="O23" s="20"/>
      <c r="P23" s="20"/>
      <c r="Q23" s="20"/>
      <c r="R23" s="20"/>
      <c r="S23" s="20"/>
      <c r="T23" s="20"/>
      <c r="U23" s="45"/>
      <c r="V23" s="20">
        <f t="shared" si="2"/>
        <v>1101.5999999999999</v>
      </c>
    </row>
    <row r="24" spans="3:22" x14ac:dyDescent="0.3">
      <c r="C24" s="82"/>
      <c r="D24" s="19" t="s">
        <v>82</v>
      </c>
      <c r="E24" s="20"/>
      <c r="F24" s="20"/>
      <c r="G24" s="20"/>
      <c r="H24" s="20"/>
      <c r="I24" s="20"/>
      <c r="J24" s="20"/>
      <c r="K24" s="20"/>
      <c r="L24" s="20">
        <f>330*4.59</f>
        <v>1514.7</v>
      </c>
      <c r="M24" s="20"/>
      <c r="N24" s="20"/>
      <c r="O24" s="20"/>
      <c r="P24" s="20"/>
      <c r="Q24" s="20"/>
      <c r="R24" s="20"/>
      <c r="S24" s="20"/>
      <c r="T24" s="20"/>
      <c r="U24" s="45"/>
      <c r="V24" s="20">
        <f t="shared" si="2"/>
        <v>1514.7</v>
      </c>
    </row>
    <row r="25" spans="3:22" x14ac:dyDescent="0.3">
      <c r="C25" s="82"/>
      <c r="D25" s="19" t="s">
        <v>83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f>5.3*370</f>
        <v>1961</v>
      </c>
      <c r="Q25" s="20"/>
      <c r="R25" s="20"/>
      <c r="S25" s="20"/>
      <c r="T25" s="20"/>
      <c r="U25" s="45"/>
      <c r="V25" s="20">
        <f t="shared" si="2"/>
        <v>1961</v>
      </c>
    </row>
    <row r="26" spans="3:22" x14ac:dyDescent="0.3">
      <c r="C26" s="82"/>
      <c r="D26" s="19" t="s">
        <v>84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>
        <f>5.3*800</f>
        <v>4240</v>
      </c>
      <c r="S26" s="20"/>
      <c r="T26" s="20"/>
      <c r="U26" s="45"/>
      <c r="V26" s="20">
        <f t="shared" si="2"/>
        <v>4240</v>
      </c>
    </row>
    <row r="27" spans="3:22" x14ac:dyDescent="0.3">
      <c r="C27" s="82"/>
      <c r="D27" s="19" t="s">
        <v>85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>
        <f>520*4.59</f>
        <v>2386.7999999999997</v>
      </c>
      <c r="T27" s="20"/>
      <c r="U27" s="45"/>
      <c r="V27" s="20">
        <f t="shared" si="2"/>
        <v>2386.7999999999997</v>
      </c>
    </row>
    <row r="28" spans="3:22" x14ac:dyDescent="0.3">
      <c r="C28" s="82"/>
      <c r="D28" s="19" t="s">
        <v>86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>
        <f>3.22*111</f>
        <v>357.42</v>
      </c>
      <c r="T28" s="20"/>
      <c r="U28" s="45"/>
      <c r="V28" s="20">
        <f t="shared" si="2"/>
        <v>357.42</v>
      </c>
    </row>
    <row r="29" spans="3:22" x14ac:dyDescent="0.3">
      <c r="C29" s="82"/>
      <c r="D29" s="19" t="s">
        <v>87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>
        <f>3.22*124</f>
        <v>399.28000000000003</v>
      </c>
      <c r="T29" s="20"/>
      <c r="U29" s="45"/>
      <c r="V29" s="20">
        <f t="shared" si="2"/>
        <v>399.28000000000003</v>
      </c>
    </row>
    <row r="30" spans="3:22" x14ac:dyDescent="0.3">
      <c r="C30" s="82"/>
      <c r="D30" s="19" t="s">
        <v>88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>
        <f>137*3.22</f>
        <v>441.14000000000004</v>
      </c>
      <c r="T30" s="20"/>
      <c r="U30" s="45"/>
      <c r="V30" s="20">
        <f t="shared" si="2"/>
        <v>441.14000000000004</v>
      </c>
    </row>
    <row r="31" spans="3:22" x14ac:dyDescent="0.3">
      <c r="C31" s="82"/>
      <c r="D31" s="19" t="s">
        <v>74</v>
      </c>
      <c r="E31" s="20"/>
      <c r="F31" s="20"/>
      <c r="G31" s="20"/>
      <c r="H31" s="20"/>
      <c r="I31" s="20"/>
      <c r="J31" s="20">
        <v>326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45"/>
      <c r="V31" s="20">
        <f t="shared" si="2"/>
        <v>326</v>
      </c>
    </row>
    <row r="32" spans="3:22" x14ac:dyDescent="0.3">
      <c r="C32" s="82"/>
      <c r="D32" s="19" t="s">
        <v>94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>
        <v>3000</v>
      </c>
      <c r="T32" s="20"/>
      <c r="U32" s="45"/>
      <c r="V32" s="20">
        <f t="shared" si="2"/>
        <v>3000</v>
      </c>
    </row>
    <row r="33" spans="3:22" x14ac:dyDescent="0.3">
      <c r="C33" s="82"/>
      <c r="D33" s="19" t="s">
        <v>63</v>
      </c>
      <c r="E33" s="20"/>
      <c r="F33" s="20"/>
      <c r="G33" s="20">
        <v>5600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45"/>
      <c r="V33" s="20">
        <f t="shared" si="2"/>
        <v>5600</v>
      </c>
    </row>
    <row r="34" spans="3:22" x14ac:dyDescent="0.3">
      <c r="C34" s="82"/>
      <c r="D34" s="19" t="s">
        <v>98</v>
      </c>
      <c r="E34" s="52"/>
      <c r="F34" s="20"/>
      <c r="G34" s="20"/>
      <c r="H34" s="20">
        <v>7000</v>
      </c>
      <c r="I34" s="20">
        <f>+H34</f>
        <v>7000</v>
      </c>
      <c r="J34" s="20">
        <f t="shared" ref="J34:T34" si="3">+I34</f>
        <v>7000</v>
      </c>
      <c r="K34" s="20">
        <f t="shared" si="3"/>
        <v>7000</v>
      </c>
      <c r="L34" s="20">
        <f t="shared" si="3"/>
        <v>7000</v>
      </c>
      <c r="M34" s="20">
        <f t="shared" si="3"/>
        <v>7000</v>
      </c>
      <c r="N34" s="20">
        <f t="shared" si="3"/>
        <v>7000</v>
      </c>
      <c r="O34" s="20">
        <f t="shared" si="3"/>
        <v>7000</v>
      </c>
      <c r="P34" s="20">
        <f t="shared" si="3"/>
        <v>7000</v>
      </c>
      <c r="Q34" s="20">
        <f t="shared" si="3"/>
        <v>7000</v>
      </c>
      <c r="R34" s="20">
        <f t="shared" si="3"/>
        <v>7000</v>
      </c>
      <c r="S34" s="20">
        <f t="shared" si="3"/>
        <v>7000</v>
      </c>
      <c r="T34" s="20">
        <f t="shared" si="3"/>
        <v>7000</v>
      </c>
      <c r="U34" s="45"/>
      <c r="V34" s="20">
        <f t="shared" si="2"/>
        <v>91000</v>
      </c>
    </row>
    <row r="35" spans="3:22" x14ac:dyDescent="0.3">
      <c r="C35" s="83"/>
      <c r="D35" s="50" t="s">
        <v>18</v>
      </c>
      <c r="E35" s="51">
        <v>0</v>
      </c>
      <c r="F35" s="51">
        <f>+SUM(F19:F34)</f>
        <v>5600</v>
      </c>
      <c r="G35" s="51">
        <f t="shared" ref="G35:T35" si="4">+SUM(G19:G34)</f>
        <v>6200</v>
      </c>
      <c r="H35" s="51">
        <f t="shared" si="4"/>
        <v>7000</v>
      </c>
      <c r="I35" s="51">
        <f t="shared" si="4"/>
        <v>7000</v>
      </c>
      <c r="J35" s="51">
        <f t="shared" si="4"/>
        <v>7326</v>
      </c>
      <c r="K35" s="51">
        <f t="shared" si="4"/>
        <v>11590</v>
      </c>
      <c r="L35" s="51">
        <f t="shared" si="4"/>
        <v>12875.2</v>
      </c>
      <c r="M35" s="51">
        <f t="shared" si="4"/>
        <v>7000</v>
      </c>
      <c r="N35" s="51">
        <f t="shared" si="4"/>
        <v>7000</v>
      </c>
      <c r="O35" s="51">
        <f t="shared" si="4"/>
        <v>7000</v>
      </c>
      <c r="P35" s="51">
        <f t="shared" si="4"/>
        <v>8961</v>
      </c>
      <c r="Q35" s="51">
        <f t="shared" si="4"/>
        <v>7000</v>
      </c>
      <c r="R35" s="51">
        <f t="shared" si="4"/>
        <v>11240</v>
      </c>
      <c r="S35" s="51">
        <f t="shared" si="4"/>
        <v>13584.64</v>
      </c>
      <c r="T35" s="51">
        <f t="shared" si="4"/>
        <v>7000</v>
      </c>
      <c r="U35" s="45"/>
      <c r="V35" s="51">
        <f>+SUM(F35:T35)</f>
        <v>126376.84</v>
      </c>
    </row>
    <row r="36" spans="3:22" x14ac:dyDescent="0.3">
      <c r="C36" s="81" t="s">
        <v>7</v>
      </c>
      <c r="D36" s="19" t="s">
        <v>102</v>
      </c>
      <c r="E36" s="20"/>
      <c r="F36" s="20"/>
      <c r="G36" s="20">
        <v>200</v>
      </c>
      <c r="H36" s="20">
        <f>+G36</f>
        <v>200</v>
      </c>
      <c r="I36" s="20">
        <f t="shared" ref="I36:T36" si="5">+H36</f>
        <v>200</v>
      </c>
      <c r="J36" s="20">
        <f t="shared" si="5"/>
        <v>200</v>
      </c>
      <c r="K36" s="20">
        <f t="shared" si="5"/>
        <v>200</v>
      </c>
      <c r="L36" s="20">
        <f t="shared" si="5"/>
        <v>200</v>
      </c>
      <c r="M36" s="20">
        <f t="shared" si="5"/>
        <v>200</v>
      </c>
      <c r="N36" s="20">
        <f t="shared" si="5"/>
        <v>200</v>
      </c>
      <c r="O36" s="20">
        <f t="shared" si="5"/>
        <v>200</v>
      </c>
      <c r="P36" s="20">
        <f t="shared" si="5"/>
        <v>200</v>
      </c>
      <c r="Q36" s="20">
        <f t="shared" si="5"/>
        <v>200</v>
      </c>
      <c r="R36" s="20">
        <f t="shared" si="5"/>
        <v>200</v>
      </c>
      <c r="S36" s="20">
        <f t="shared" si="5"/>
        <v>200</v>
      </c>
      <c r="T36" s="20">
        <f t="shared" si="5"/>
        <v>200</v>
      </c>
      <c r="U36" s="45"/>
      <c r="V36" s="20">
        <f>+SUM(F36:T36)</f>
        <v>2800</v>
      </c>
    </row>
    <row r="37" spans="3:22" x14ac:dyDescent="0.3">
      <c r="C37" s="82"/>
      <c r="D37" s="19" t="s">
        <v>105</v>
      </c>
      <c r="E37" s="20"/>
      <c r="F37" s="20">
        <v>330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45"/>
      <c r="V37" s="20">
        <f t="shared" ref="V37:V61" si="6">+SUM(F37:T37)</f>
        <v>330</v>
      </c>
    </row>
    <row r="38" spans="3:22" x14ac:dyDescent="0.3">
      <c r="C38" s="82"/>
      <c r="D38" s="19" t="s">
        <v>31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>
        <v>758.25095326069072</v>
      </c>
      <c r="P38" s="20"/>
      <c r="Q38" s="20"/>
      <c r="R38" s="20"/>
      <c r="S38" s="20"/>
      <c r="T38" s="20"/>
      <c r="U38" s="45"/>
      <c r="V38" s="20">
        <f t="shared" si="6"/>
        <v>758.25095326069072</v>
      </c>
    </row>
    <row r="39" spans="3:22" x14ac:dyDescent="0.3">
      <c r="C39" s="82"/>
      <c r="D39" s="19" t="s">
        <v>32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905.14024400002631</v>
      </c>
      <c r="Q39" s="20"/>
      <c r="R39" s="20"/>
      <c r="S39" s="20"/>
      <c r="T39" s="20"/>
      <c r="U39" s="45"/>
      <c r="V39" s="20">
        <f t="shared" si="6"/>
        <v>905.14024400002631</v>
      </c>
    </row>
    <row r="40" spans="3:22" x14ac:dyDescent="0.3">
      <c r="C40" s="82"/>
      <c r="D40" s="19" t="s">
        <v>41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>
        <v>1370.1</v>
      </c>
      <c r="R40" s="20"/>
      <c r="S40" s="20"/>
      <c r="T40" s="20"/>
      <c r="U40" s="45"/>
      <c r="V40" s="20">
        <f t="shared" si="6"/>
        <v>1370.1</v>
      </c>
    </row>
    <row r="41" spans="3:22" x14ac:dyDescent="0.3">
      <c r="C41" s="82"/>
      <c r="D41" s="19" t="s">
        <v>42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>
        <v>1250</v>
      </c>
      <c r="R41" s="20"/>
      <c r="S41" s="20"/>
      <c r="T41" s="20"/>
      <c r="U41" s="45"/>
      <c r="V41" s="20">
        <f t="shared" si="6"/>
        <v>1250</v>
      </c>
    </row>
    <row r="42" spans="3:22" x14ac:dyDescent="0.3">
      <c r="C42" s="82"/>
      <c r="D42" s="19" t="s">
        <v>43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>
        <v>900</v>
      </c>
      <c r="R42" s="20"/>
      <c r="S42" s="20"/>
      <c r="T42" s="20"/>
      <c r="U42" s="45"/>
      <c r="V42" s="20">
        <f t="shared" si="6"/>
        <v>900</v>
      </c>
    </row>
    <row r="43" spans="3:22" x14ac:dyDescent="0.3">
      <c r="C43" s="82"/>
      <c r="D43" s="19" t="s">
        <v>101</v>
      </c>
      <c r="E43" s="20"/>
      <c r="F43" s="20"/>
      <c r="G43" s="20"/>
      <c r="H43" s="20">
        <v>3000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45"/>
      <c r="V43" s="20">
        <f t="shared" si="6"/>
        <v>3000</v>
      </c>
    </row>
    <row r="44" spans="3:22" x14ac:dyDescent="0.3">
      <c r="C44" s="82"/>
      <c r="D44" s="19" t="s">
        <v>99</v>
      </c>
      <c r="E44" s="20"/>
      <c r="F44" s="20"/>
      <c r="G44" s="20"/>
      <c r="H44" s="20">
        <f>100000000/36800/1.2</f>
        <v>2264.4927536231885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45"/>
      <c r="V44" s="20">
        <f t="shared" si="6"/>
        <v>2264.4927536231885</v>
      </c>
    </row>
    <row r="45" spans="3:22" x14ac:dyDescent="0.3">
      <c r="C45" s="82"/>
      <c r="D45" s="19" t="s">
        <v>28</v>
      </c>
      <c r="E45" s="20" t="s">
        <v>22</v>
      </c>
      <c r="F45" s="20"/>
      <c r="G45" s="20"/>
      <c r="H45" s="20"/>
      <c r="I45" s="20"/>
      <c r="J45" s="20"/>
      <c r="K45" s="20"/>
      <c r="L45" s="20"/>
      <c r="M45" s="20"/>
      <c r="N45" s="20">
        <v>777.55382891905617</v>
      </c>
      <c r="O45" s="20"/>
      <c r="P45" s="20"/>
      <c r="Q45" s="20"/>
      <c r="R45" s="20"/>
      <c r="S45" s="20"/>
      <c r="T45" s="20"/>
      <c r="U45" s="45"/>
      <c r="V45" s="20">
        <f t="shared" si="6"/>
        <v>777.55382891905617</v>
      </c>
    </row>
    <row r="46" spans="3:22" x14ac:dyDescent="0.3">
      <c r="C46" s="82"/>
      <c r="D46" s="19" t="s">
        <v>29</v>
      </c>
      <c r="E46" s="20" t="s">
        <v>22</v>
      </c>
      <c r="F46" s="20"/>
      <c r="G46" s="20"/>
      <c r="H46" s="20"/>
      <c r="I46" s="20"/>
      <c r="J46" s="20"/>
      <c r="K46" s="20"/>
      <c r="L46" s="20"/>
      <c r="M46" s="20"/>
      <c r="N46" s="20">
        <v>1937.4717074651894</v>
      </c>
      <c r="O46" s="20"/>
      <c r="P46" s="20"/>
      <c r="Q46" s="20"/>
      <c r="R46" s="20"/>
      <c r="S46" s="20"/>
      <c r="T46" s="20"/>
      <c r="U46" s="45"/>
      <c r="V46" s="20">
        <f t="shared" si="6"/>
        <v>1937.4717074651894</v>
      </c>
    </row>
    <row r="47" spans="3:22" x14ac:dyDescent="0.3">
      <c r="C47" s="82"/>
      <c r="D47" s="19" t="s">
        <v>14</v>
      </c>
      <c r="E47" s="20"/>
      <c r="F47" s="20"/>
      <c r="G47" s="20"/>
      <c r="H47" s="20"/>
      <c r="I47" s="20"/>
      <c r="J47" s="20"/>
      <c r="K47" s="20"/>
      <c r="L47" s="20"/>
      <c r="M47" s="20"/>
      <c r="N47" s="20">
        <v>1179.47778879509</v>
      </c>
      <c r="O47" s="20"/>
      <c r="P47" s="20"/>
      <c r="Q47" s="20"/>
      <c r="R47" s="20"/>
      <c r="S47" s="20"/>
      <c r="T47" s="20"/>
      <c r="U47" s="45"/>
      <c r="V47" s="20">
        <f t="shared" si="6"/>
        <v>1179.47778879509</v>
      </c>
    </row>
    <row r="48" spans="3:22" x14ac:dyDescent="0.3">
      <c r="C48" s="82"/>
      <c r="D48" s="19" t="s">
        <v>27</v>
      </c>
      <c r="E48" s="20" t="s">
        <v>22</v>
      </c>
      <c r="F48" s="20"/>
      <c r="G48" s="20"/>
      <c r="H48" s="20"/>
      <c r="I48" s="20"/>
      <c r="J48" s="20"/>
      <c r="K48" s="20">
        <v>1284.7947392070291</v>
      </c>
      <c r="L48" s="20"/>
      <c r="M48" s="20"/>
      <c r="N48" s="20"/>
      <c r="O48" s="20"/>
      <c r="P48" s="20"/>
      <c r="Q48" s="20"/>
      <c r="R48" s="20"/>
      <c r="S48" s="20"/>
      <c r="T48" s="20"/>
      <c r="U48" s="45"/>
      <c r="V48" s="20">
        <f t="shared" si="6"/>
        <v>1284.7947392070291</v>
      </c>
    </row>
    <row r="49" spans="3:22" x14ac:dyDescent="0.3">
      <c r="C49" s="82"/>
      <c r="D49" s="19" t="s">
        <v>23</v>
      </c>
      <c r="E49" s="20" t="s">
        <v>21</v>
      </c>
      <c r="F49" s="20"/>
      <c r="G49" s="20"/>
      <c r="H49" s="20"/>
      <c r="I49" s="20"/>
      <c r="J49" s="20"/>
      <c r="K49" s="20"/>
      <c r="L49" s="20"/>
      <c r="M49" s="20"/>
      <c r="N49" s="20">
        <v>1590.7278236895932</v>
      </c>
      <c r="O49" s="20"/>
      <c r="P49" s="20"/>
      <c r="Q49" s="20"/>
      <c r="R49" s="20"/>
      <c r="S49" s="20"/>
      <c r="T49" s="20"/>
      <c r="U49" s="45"/>
      <c r="V49" s="20">
        <f t="shared" si="6"/>
        <v>1590.7278236895932</v>
      </c>
    </row>
    <row r="50" spans="3:22" x14ac:dyDescent="0.3">
      <c r="C50" s="82"/>
      <c r="D50" s="19" t="s">
        <v>26</v>
      </c>
      <c r="E50" s="20" t="s">
        <v>22</v>
      </c>
      <c r="F50" s="20"/>
      <c r="G50" s="20"/>
      <c r="H50" s="20"/>
      <c r="I50" s="20">
        <v>341.29347680492879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45"/>
      <c r="V50" s="20">
        <f t="shared" si="6"/>
        <v>341.29347680492879</v>
      </c>
    </row>
    <row r="51" spans="3:22" x14ac:dyDescent="0.3">
      <c r="C51" s="82"/>
      <c r="D51" s="19" t="s">
        <v>57</v>
      </c>
      <c r="E51" s="20"/>
      <c r="F51" s="20"/>
      <c r="G51" s="20"/>
      <c r="H51" s="20">
        <v>100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45"/>
      <c r="V51" s="20">
        <f t="shared" si="6"/>
        <v>100</v>
      </c>
    </row>
    <row r="52" spans="3:22" x14ac:dyDescent="0.3">
      <c r="C52" s="82"/>
      <c r="D52" s="19" t="s">
        <v>77</v>
      </c>
      <c r="E52" s="20"/>
      <c r="F52" s="20"/>
      <c r="G52" s="20"/>
      <c r="H52" s="20"/>
      <c r="I52" s="20"/>
      <c r="J52" s="20">
        <f>6.16*712</f>
        <v>4385.92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45"/>
      <c r="V52" s="20">
        <f t="shared" si="6"/>
        <v>4385.92</v>
      </c>
    </row>
    <row r="53" spans="3:22" x14ac:dyDescent="0.3">
      <c r="C53" s="82"/>
      <c r="D53" s="19" t="s">
        <v>67</v>
      </c>
      <c r="E53" s="20"/>
      <c r="F53" s="20"/>
      <c r="G53" s="20"/>
      <c r="H53" s="20">
        <v>1087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V53" s="39">
        <f t="shared" si="6"/>
        <v>1087</v>
      </c>
    </row>
    <row r="54" spans="3:22" x14ac:dyDescent="0.3">
      <c r="C54" s="82"/>
      <c r="D54" s="19" t="s">
        <v>68</v>
      </c>
      <c r="E54" s="20"/>
      <c r="F54" s="20"/>
      <c r="G54" s="20"/>
      <c r="H54" s="20">
        <v>200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45"/>
      <c r="V54" s="20">
        <f t="shared" si="6"/>
        <v>200</v>
      </c>
    </row>
    <row r="55" spans="3:22" x14ac:dyDescent="0.3">
      <c r="C55" s="82"/>
      <c r="D55" s="19" t="s">
        <v>69</v>
      </c>
      <c r="E55" s="20"/>
      <c r="F55" s="20"/>
      <c r="G55" s="20"/>
      <c r="H55" s="20"/>
      <c r="I55" s="20">
        <v>408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45"/>
      <c r="V55" s="20">
        <f t="shared" si="6"/>
        <v>408</v>
      </c>
    </row>
    <row r="56" spans="3:22" x14ac:dyDescent="0.3">
      <c r="C56" s="82"/>
      <c r="D56" s="19" t="s">
        <v>70</v>
      </c>
      <c r="E56" s="20"/>
      <c r="F56" s="20"/>
      <c r="G56" s="20"/>
      <c r="H56" s="20"/>
      <c r="I56" s="20">
        <v>226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45"/>
      <c r="V56" s="20">
        <f t="shared" si="6"/>
        <v>226</v>
      </c>
    </row>
    <row r="57" spans="3:22" ht="13.95" customHeight="1" x14ac:dyDescent="0.3">
      <c r="C57" s="82"/>
      <c r="D57" s="19" t="s">
        <v>71</v>
      </c>
      <c r="E57" s="20"/>
      <c r="F57" s="20"/>
      <c r="G57" s="20"/>
      <c r="H57" s="20"/>
      <c r="I57" s="20"/>
      <c r="J57" s="20">
        <v>489</v>
      </c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45"/>
      <c r="V57" s="20">
        <f t="shared" si="6"/>
        <v>489</v>
      </c>
    </row>
    <row r="58" spans="3:22" x14ac:dyDescent="0.3">
      <c r="C58" s="82"/>
      <c r="D58" s="19" t="s">
        <v>72</v>
      </c>
      <c r="E58" s="20"/>
      <c r="F58" s="20"/>
      <c r="G58" s="20"/>
      <c r="H58" s="20"/>
      <c r="I58" s="20">
        <v>226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45"/>
      <c r="V58" s="20">
        <f t="shared" si="6"/>
        <v>226</v>
      </c>
    </row>
    <row r="59" spans="3:22" x14ac:dyDescent="0.3">
      <c r="C59" s="82"/>
      <c r="D59" s="19" t="s">
        <v>73</v>
      </c>
      <c r="E59" s="20"/>
      <c r="F59" s="20"/>
      <c r="G59" s="20"/>
      <c r="H59" s="20"/>
      <c r="I59" s="20"/>
      <c r="J59" s="20">
        <v>226</v>
      </c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45"/>
      <c r="V59" s="20">
        <f t="shared" si="6"/>
        <v>226</v>
      </c>
    </row>
    <row r="60" spans="3:22" x14ac:dyDescent="0.3">
      <c r="C60" s="82"/>
      <c r="D60" s="19" t="s">
        <v>123</v>
      </c>
      <c r="E60" s="20"/>
      <c r="F60" s="20">
        <v>3500</v>
      </c>
      <c r="G60" s="20">
        <v>3500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45"/>
      <c r="V60" s="20">
        <f t="shared" si="6"/>
        <v>7000</v>
      </c>
    </row>
    <row r="61" spans="3:22" x14ac:dyDescent="0.3">
      <c r="C61" s="82"/>
      <c r="D61" s="19" t="s">
        <v>103</v>
      </c>
      <c r="E61" s="52"/>
      <c r="F61" s="20"/>
      <c r="G61" s="20"/>
      <c r="H61" s="20">
        <v>5250</v>
      </c>
      <c r="I61" s="20">
        <f>+H61</f>
        <v>5250</v>
      </c>
      <c r="J61" s="20">
        <f t="shared" ref="J61:T61" si="7">+I61</f>
        <v>5250</v>
      </c>
      <c r="K61" s="20">
        <f t="shared" si="7"/>
        <v>5250</v>
      </c>
      <c r="L61" s="20">
        <f t="shared" si="7"/>
        <v>5250</v>
      </c>
      <c r="M61" s="20">
        <f t="shared" si="7"/>
        <v>5250</v>
      </c>
      <c r="N61" s="20">
        <f t="shared" si="7"/>
        <v>5250</v>
      </c>
      <c r="O61" s="20">
        <f t="shared" si="7"/>
        <v>5250</v>
      </c>
      <c r="P61" s="20">
        <f t="shared" si="7"/>
        <v>5250</v>
      </c>
      <c r="Q61" s="20">
        <f t="shared" si="7"/>
        <v>5250</v>
      </c>
      <c r="R61" s="20">
        <f t="shared" si="7"/>
        <v>5250</v>
      </c>
      <c r="S61" s="20">
        <f t="shared" si="7"/>
        <v>5250</v>
      </c>
      <c r="T61" s="20">
        <f t="shared" si="7"/>
        <v>5250</v>
      </c>
      <c r="U61" s="45"/>
      <c r="V61" s="20">
        <f t="shared" si="6"/>
        <v>68250</v>
      </c>
    </row>
    <row r="62" spans="3:22" x14ac:dyDescent="0.3">
      <c r="C62" s="83"/>
      <c r="D62" s="50" t="s">
        <v>19</v>
      </c>
      <c r="E62" s="51">
        <v>0</v>
      </c>
      <c r="F62" s="51">
        <f t="shared" ref="F62:T62" si="8">+SUM(F36:F61)</f>
        <v>3830</v>
      </c>
      <c r="G62" s="51">
        <f t="shared" si="8"/>
        <v>3700</v>
      </c>
      <c r="H62" s="51">
        <f t="shared" si="8"/>
        <v>12101.492753623188</v>
      </c>
      <c r="I62" s="51">
        <f t="shared" si="8"/>
        <v>6651.293476804929</v>
      </c>
      <c r="J62" s="51">
        <f t="shared" si="8"/>
        <v>10550.92</v>
      </c>
      <c r="K62" s="51">
        <f t="shared" si="8"/>
        <v>6734.7947392070291</v>
      </c>
      <c r="L62" s="51">
        <f t="shared" si="8"/>
        <v>5450</v>
      </c>
      <c r="M62" s="51">
        <f t="shared" si="8"/>
        <v>5450</v>
      </c>
      <c r="N62" s="51">
        <f t="shared" si="8"/>
        <v>10935.231148868928</v>
      </c>
      <c r="O62" s="51">
        <f t="shared" si="8"/>
        <v>6208.2509532606909</v>
      </c>
      <c r="P62" s="51">
        <f t="shared" si="8"/>
        <v>6355.1402440000265</v>
      </c>
      <c r="Q62" s="51">
        <f t="shared" si="8"/>
        <v>8970.1</v>
      </c>
      <c r="R62" s="51">
        <f t="shared" si="8"/>
        <v>5450</v>
      </c>
      <c r="S62" s="51">
        <f t="shared" si="8"/>
        <v>5450</v>
      </c>
      <c r="T62" s="51">
        <f t="shared" si="8"/>
        <v>5450</v>
      </c>
      <c r="U62" s="45"/>
      <c r="V62" s="51">
        <f>+SUM(F62:T62)</f>
        <v>103287.22331576479</v>
      </c>
    </row>
    <row r="63" spans="3:22" x14ac:dyDescent="0.3">
      <c r="C63" s="81" t="s">
        <v>8</v>
      </c>
      <c r="D63" s="19" t="s">
        <v>58</v>
      </c>
      <c r="E63" s="20"/>
      <c r="F63" s="20"/>
      <c r="G63" s="20"/>
      <c r="H63" s="20">
        <f>61195.9668057236/110*160</f>
        <v>89012.315353779777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45"/>
      <c r="V63" s="20">
        <f>+SUM(F63:T63)</f>
        <v>89012.315353779777</v>
      </c>
    </row>
    <row r="64" spans="3:22" x14ac:dyDescent="0.3">
      <c r="C64" s="82"/>
      <c r="D64" s="19" t="s">
        <v>9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>
        <v>350</v>
      </c>
      <c r="R64" s="20"/>
      <c r="S64" s="20"/>
      <c r="T64" s="20"/>
      <c r="U64" s="45"/>
      <c r="V64" s="20">
        <f>+SUM(F64:T64)</f>
        <v>350</v>
      </c>
    </row>
    <row r="65" spans="3:23" x14ac:dyDescent="0.3">
      <c r="C65" s="82"/>
      <c r="D65" s="19" t="s">
        <v>107</v>
      </c>
      <c r="E65" s="20"/>
      <c r="F65" s="20"/>
      <c r="G65" s="20">
        <v>6580</v>
      </c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45"/>
      <c r="V65" s="20">
        <f t="shared" ref="V65:V68" si="9">+SUM(F65:T65)</f>
        <v>6580</v>
      </c>
    </row>
    <row r="66" spans="3:23" x14ac:dyDescent="0.3">
      <c r="C66" s="82"/>
      <c r="D66" s="66" t="s">
        <v>106</v>
      </c>
      <c r="E66" s="67"/>
      <c r="F66" s="67"/>
      <c r="G66" s="67"/>
      <c r="H66" s="68">
        <f>2*100000000/36800/1.2</f>
        <v>4528.985507246377</v>
      </c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9"/>
      <c r="V66" s="67">
        <f t="shared" si="9"/>
        <v>4528.985507246377</v>
      </c>
    </row>
    <row r="67" spans="3:23" x14ac:dyDescent="0.3">
      <c r="C67" s="82"/>
      <c r="D67" s="66" t="s">
        <v>108</v>
      </c>
      <c r="E67" s="67"/>
      <c r="F67" s="67"/>
      <c r="G67" s="67"/>
      <c r="H67" s="68">
        <f>150000000/36800/1.2</f>
        <v>3396.7391304347825</v>
      </c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9"/>
      <c r="V67" s="67">
        <f t="shared" si="9"/>
        <v>3396.7391304347825</v>
      </c>
    </row>
    <row r="68" spans="3:23" x14ac:dyDescent="0.3">
      <c r="C68" s="82"/>
      <c r="D68" s="66" t="s">
        <v>109</v>
      </c>
      <c r="E68" s="67"/>
      <c r="F68" s="67"/>
      <c r="G68" s="67"/>
      <c r="H68" s="68">
        <f>10000000/36800/1.2</f>
        <v>226.44927536231887</v>
      </c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9"/>
      <c r="V68" s="70">
        <f t="shared" si="9"/>
        <v>226.44927536231887</v>
      </c>
    </row>
    <row r="69" spans="3:23" x14ac:dyDescent="0.3">
      <c r="C69" s="83"/>
      <c r="D69" s="50" t="s">
        <v>20</v>
      </c>
      <c r="E69" s="51">
        <v>0</v>
      </c>
      <c r="F69" s="51">
        <f>+SUM(F63:F68)</f>
        <v>0</v>
      </c>
      <c r="G69" s="51">
        <f t="shared" ref="G69:T69" si="10">+SUM(G63:G68)</f>
        <v>6580</v>
      </c>
      <c r="H69" s="51">
        <f t="shared" si="10"/>
        <v>97164.489266823264</v>
      </c>
      <c r="I69" s="51">
        <f t="shared" si="10"/>
        <v>0</v>
      </c>
      <c r="J69" s="51">
        <f t="shared" si="10"/>
        <v>0</v>
      </c>
      <c r="K69" s="51">
        <f t="shared" si="10"/>
        <v>0</v>
      </c>
      <c r="L69" s="51">
        <f t="shared" si="10"/>
        <v>0</v>
      </c>
      <c r="M69" s="51">
        <f t="shared" si="10"/>
        <v>0</v>
      </c>
      <c r="N69" s="51">
        <f t="shared" si="10"/>
        <v>0</v>
      </c>
      <c r="O69" s="51">
        <f t="shared" si="10"/>
        <v>0</v>
      </c>
      <c r="P69" s="51">
        <f t="shared" si="10"/>
        <v>0</v>
      </c>
      <c r="Q69" s="51">
        <f t="shared" si="10"/>
        <v>350</v>
      </c>
      <c r="R69" s="51">
        <f t="shared" si="10"/>
        <v>0</v>
      </c>
      <c r="S69" s="51">
        <f t="shared" si="10"/>
        <v>0</v>
      </c>
      <c r="T69" s="51">
        <f t="shared" si="10"/>
        <v>0</v>
      </c>
      <c r="U69" s="45"/>
      <c r="V69" s="51">
        <f>+SUM(F69:T69)</f>
        <v>104094.48926682326</v>
      </c>
    </row>
    <row r="70" spans="3:23" x14ac:dyDescent="0.3">
      <c r="C70" s="48"/>
      <c r="D70" s="53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45"/>
      <c r="V70" s="39"/>
    </row>
    <row r="71" spans="3:23" x14ac:dyDescent="0.3">
      <c r="C71" s="54"/>
      <c r="D71" s="54" t="s">
        <v>10</v>
      </c>
      <c r="E71" s="55">
        <v>0</v>
      </c>
      <c r="F71" s="55">
        <f>+F69+F62+F35+F18</f>
        <v>9430</v>
      </c>
      <c r="G71" s="55">
        <f t="shared" ref="G71:T71" si="11">+G69+G62+G35+G18</f>
        <v>17657</v>
      </c>
      <c r="H71" s="55">
        <f t="shared" si="11"/>
        <v>116265.98202044645</v>
      </c>
      <c r="I71" s="55">
        <f t="shared" si="11"/>
        <v>13651.293476804929</v>
      </c>
      <c r="J71" s="55">
        <f t="shared" si="11"/>
        <v>17876.919999999998</v>
      </c>
      <c r="K71" s="55">
        <f t="shared" si="11"/>
        <v>18324.794739207027</v>
      </c>
      <c r="L71" s="55">
        <f t="shared" si="11"/>
        <v>18325.2</v>
      </c>
      <c r="M71" s="55">
        <f t="shared" si="11"/>
        <v>19736.523883052643</v>
      </c>
      <c r="N71" s="55">
        <f t="shared" si="11"/>
        <v>34294.330487499668</v>
      </c>
      <c r="O71" s="55">
        <f t="shared" si="11"/>
        <v>13208.250953260691</v>
      </c>
      <c r="P71" s="55">
        <f t="shared" si="11"/>
        <v>15316.140244000027</v>
      </c>
      <c r="Q71" s="55">
        <f t="shared" si="11"/>
        <v>16320.1</v>
      </c>
      <c r="R71" s="55">
        <f t="shared" si="11"/>
        <v>16690</v>
      </c>
      <c r="S71" s="55">
        <f t="shared" si="11"/>
        <v>19034.64</v>
      </c>
      <c r="T71" s="55">
        <f t="shared" si="11"/>
        <v>12450</v>
      </c>
      <c r="U71" s="45"/>
      <c r="V71" s="55">
        <f>+V69+V62+V35+V18</f>
        <v>358581.17580427142</v>
      </c>
      <c r="W71" s="56"/>
    </row>
    <row r="72" spans="3:23" x14ac:dyDescent="0.3"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56"/>
    </row>
    <row r="73" spans="3:23" x14ac:dyDescent="0.3">
      <c r="C73" s="61" t="s">
        <v>37</v>
      </c>
      <c r="D73" s="62" t="s">
        <v>113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3:23" x14ac:dyDescent="0.3">
      <c r="C74" s="45"/>
      <c r="D74" s="62" t="s">
        <v>75</v>
      </c>
      <c r="E74" s="45"/>
      <c r="F74" s="63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</row>
    <row r="75" spans="3:23" x14ac:dyDescent="0.3">
      <c r="C75" s="45"/>
      <c r="D75" s="62" t="s">
        <v>114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</row>
    <row r="76" spans="3:23" x14ac:dyDescent="0.3">
      <c r="C76" s="45"/>
      <c r="D76" s="62" t="s">
        <v>115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</row>
    <row r="77" spans="3:23" x14ac:dyDescent="0.3">
      <c r="C77" s="45"/>
      <c r="D77" s="62" t="s">
        <v>104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</row>
    <row r="78" spans="3:23" x14ac:dyDescent="0.3">
      <c r="C78" s="45"/>
      <c r="D78" s="62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</row>
    <row r="79" spans="3:23" x14ac:dyDescent="0.3"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</row>
    <row r="80" spans="3:23" ht="15.6" x14ac:dyDescent="0.3"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89" t="s">
        <v>118</v>
      </c>
      <c r="N80" s="89"/>
      <c r="O80" s="89"/>
      <c r="P80" s="89"/>
      <c r="Q80" s="45"/>
      <c r="R80" s="45"/>
      <c r="S80" s="45"/>
      <c r="T80" s="45"/>
      <c r="U80" s="45"/>
      <c r="V80" s="45"/>
    </row>
    <row r="81" spans="3:22" ht="15.6" x14ac:dyDescent="0.3"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90" t="s">
        <v>116</v>
      </c>
      <c r="N81" s="90"/>
      <c r="O81" s="90"/>
      <c r="P81" s="90"/>
      <c r="Q81" s="45"/>
      <c r="R81" s="45"/>
      <c r="S81" s="45"/>
      <c r="T81" s="45"/>
      <c r="U81" s="45"/>
      <c r="V81" s="45"/>
    </row>
    <row r="82" spans="3:22" ht="15.6" x14ac:dyDescent="0.3">
      <c r="C82" s="45" t="s">
        <v>119</v>
      </c>
      <c r="D82" s="45"/>
      <c r="E82" s="45"/>
      <c r="F82" s="45"/>
      <c r="G82" s="45"/>
      <c r="H82" s="45"/>
      <c r="I82" s="45"/>
      <c r="J82" s="45"/>
      <c r="K82" s="45"/>
      <c r="L82" s="45"/>
      <c r="M82" s="90" t="s">
        <v>117</v>
      </c>
      <c r="N82" s="90"/>
      <c r="O82" s="90"/>
      <c r="P82" s="90"/>
      <c r="Q82" s="45"/>
      <c r="R82" s="45"/>
      <c r="S82" s="45"/>
      <c r="T82" s="45"/>
      <c r="U82" s="45"/>
      <c r="V82" s="45"/>
    </row>
    <row r="94" spans="3:22" x14ac:dyDescent="0.3">
      <c r="F94" s="42">
        <v>50898</v>
      </c>
      <c r="G94" s="42">
        <v>51679</v>
      </c>
      <c r="H94" s="42">
        <v>52459</v>
      </c>
      <c r="I94" s="42">
        <v>53238</v>
      </c>
      <c r="J94" s="42">
        <v>54017</v>
      </c>
    </row>
    <row r="95" spans="3:22" x14ac:dyDescent="0.3">
      <c r="F95" s="57">
        <f>+F71/F94</f>
        <v>0.18527250579590554</v>
      </c>
      <c r="G95" s="57">
        <f>+G71/G94</f>
        <v>0.3416668279184969</v>
      </c>
      <c r="H95" s="57">
        <f>+H71/H94</f>
        <v>2.2163209748650652</v>
      </c>
      <c r="I95" s="57">
        <f>+I71/I94</f>
        <v>0.25642010362532269</v>
      </c>
      <c r="J95" s="57">
        <f>+J71/J94</f>
        <v>0.3309498861469537</v>
      </c>
    </row>
  </sheetData>
  <mergeCells count="11">
    <mergeCell ref="C36:C62"/>
    <mergeCell ref="C63:C69"/>
    <mergeCell ref="M80:P80"/>
    <mergeCell ref="M81:P81"/>
    <mergeCell ref="M82:P82"/>
    <mergeCell ref="C19:C35"/>
    <mergeCell ref="C8:C9"/>
    <mergeCell ref="D8:D9"/>
    <mergeCell ref="E8:T8"/>
    <mergeCell ref="V8:V9"/>
    <mergeCell ref="C10:C18"/>
  </mergeCells>
  <pageMargins left="0.11811023622047245" right="0.11811023622047245" top="0.98425196850393704" bottom="0" header="0.31496062992125984" footer="0.31496062992125984"/>
  <pageSetup scale="66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8BFF4-F0FB-41E3-B7FB-D16472AC8917}">
  <dimension ref="B1:Z77"/>
  <sheetViews>
    <sheetView topLeftCell="B49" zoomScale="120" zoomScaleNormal="120" workbookViewId="0">
      <selection activeCell="D33" sqref="D33:P33"/>
    </sheetView>
  </sheetViews>
  <sheetFormatPr baseColWidth="10" defaultColWidth="10.88671875" defaultRowHeight="13.2" x14ac:dyDescent="0.3"/>
  <cols>
    <col min="1" max="1" width="10.88671875" style="1"/>
    <col min="2" max="2" width="7.6640625" style="1" customWidth="1"/>
    <col min="3" max="3" width="11.33203125" style="1" customWidth="1"/>
    <col min="4" max="4" width="51" style="1" customWidth="1"/>
    <col min="5" max="5" width="1.44140625" style="1" hidden="1" customWidth="1"/>
    <col min="6" max="7" width="6" style="1" bestFit="1" customWidth="1"/>
    <col min="8" max="8" width="7" style="1" customWidth="1"/>
    <col min="9" max="11" width="6" style="1" bestFit="1" customWidth="1"/>
    <col min="12" max="12" width="6.109375" style="1" customWidth="1"/>
    <col min="13" max="18" width="6" style="1" bestFit="1" customWidth="1"/>
    <col min="19" max="20" width="5.44140625" style="1" customWidth="1"/>
    <col min="21" max="21" width="3.33203125" style="1" customWidth="1"/>
    <col min="22" max="22" width="8.109375" style="1" customWidth="1"/>
    <col min="23" max="16384" width="10.88671875" style="1"/>
  </cols>
  <sheetData>
    <row r="1" spans="3:23" x14ac:dyDescent="0.3">
      <c r="H1" s="1" t="s">
        <v>40</v>
      </c>
    </row>
    <row r="4" spans="3:23" ht="14.4" x14ac:dyDescent="0.3">
      <c r="C4" s="2" t="s">
        <v>0</v>
      </c>
    </row>
    <row r="5" spans="3:23" x14ac:dyDescent="0.3">
      <c r="F5" s="25">
        <v>1</v>
      </c>
      <c r="G5" s="25">
        <v>2</v>
      </c>
      <c r="H5" s="25">
        <v>3</v>
      </c>
      <c r="I5" s="25">
        <v>4</v>
      </c>
      <c r="J5" s="25">
        <v>5</v>
      </c>
      <c r="K5" s="25">
        <v>6</v>
      </c>
      <c r="L5" s="25">
        <v>7</v>
      </c>
      <c r="M5" s="25">
        <v>8</v>
      </c>
      <c r="N5" s="25">
        <v>9</v>
      </c>
      <c r="O5" s="25">
        <v>10</v>
      </c>
      <c r="P5" s="25">
        <v>11</v>
      </c>
      <c r="Q5" s="25">
        <v>12</v>
      </c>
      <c r="R5" s="25">
        <v>13</v>
      </c>
      <c r="S5" s="25">
        <v>14</v>
      </c>
      <c r="T5" s="25">
        <v>15</v>
      </c>
    </row>
    <row r="6" spans="3:23" ht="14.4" customHeight="1" x14ac:dyDescent="0.3">
      <c r="C6" s="95" t="s">
        <v>1</v>
      </c>
      <c r="D6" s="95" t="s">
        <v>2</v>
      </c>
      <c r="E6" s="96" t="s">
        <v>3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8"/>
      <c r="U6" s="3"/>
      <c r="V6" s="91" t="s">
        <v>16</v>
      </c>
    </row>
    <row r="7" spans="3:23" x14ac:dyDescent="0.3">
      <c r="C7" s="95"/>
      <c r="D7" s="95"/>
      <c r="E7" s="31">
        <v>2022</v>
      </c>
      <c r="F7" s="31">
        <v>2023</v>
      </c>
      <c r="G7" s="31">
        <v>2024</v>
      </c>
      <c r="H7" s="31">
        <v>2025</v>
      </c>
      <c r="I7" s="31">
        <v>2026</v>
      </c>
      <c r="J7" s="31">
        <v>2027</v>
      </c>
      <c r="K7" s="31">
        <v>2028</v>
      </c>
      <c r="L7" s="31">
        <v>2029</v>
      </c>
      <c r="M7" s="31">
        <v>2030</v>
      </c>
      <c r="N7" s="31">
        <v>2031</v>
      </c>
      <c r="O7" s="31">
        <v>2032</v>
      </c>
      <c r="P7" s="31">
        <v>2033</v>
      </c>
      <c r="Q7" s="31">
        <v>2034</v>
      </c>
      <c r="R7" s="31">
        <v>2035</v>
      </c>
      <c r="S7" s="31">
        <v>2036</v>
      </c>
      <c r="T7" s="31">
        <v>2037</v>
      </c>
      <c r="U7" s="3"/>
      <c r="V7" s="91"/>
    </row>
    <row r="8" spans="3:23" x14ac:dyDescent="0.3">
      <c r="C8" s="92" t="s">
        <v>4</v>
      </c>
      <c r="D8" s="5" t="s">
        <v>5</v>
      </c>
      <c r="E8" s="6"/>
      <c r="F8" s="6"/>
      <c r="G8" s="6"/>
      <c r="H8" s="6"/>
      <c r="I8" s="6"/>
      <c r="J8" s="6"/>
      <c r="K8" s="6"/>
      <c r="L8" s="6"/>
      <c r="M8" s="6">
        <v>7286.5238830526414</v>
      </c>
      <c r="N8" s="6"/>
      <c r="O8" s="6"/>
      <c r="P8" s="6"/>
      <c r="Q8" s="6"/>
      <c r="R8" s="6"/>
      <c r="S8" s="6"/>
      <c r="T8" s="6"/>
      <c r="U8" s="3"/>
      <c r="V8" s="6">
        <f t="shared" ref="V8:V15" si="0">+SUM(F8:T8)</f>
        <v>7286.5238830526414</v>
      </c>
    </row>
    <row r="9" spans="3:23" x14ac:dyDescent="0.3">
      <c r="C9" s="93"/>
      <c r="D9" s="7" t="s">
        <v>11</v>
      </c>
      <c r="E9" s="8"/>
      <c r="F9" s="8"/>
      <c r="G9" s="8"/>
      <c r="H9" s="8"/>
      <c r="I9" s="8"/>
      <c r="J9" s="8"/>
      <c r="K9" s="8"/>
      <c r="L9" s="8"/>
      <c r="M9" s="8"/>
      <c r="N9" s="8">
        <v>15346.293113729069</v>
      </c>
      <c r="O9" s="8"/>
      <c r="P9" s="8"/>
      <c r="Q9" s="8"/>
      <c r="R9" s="8"/>
      <c r="S9" s="8"/>
      <c r="T9" s="8"/>
      <c r="U9" s="3"/>
      <c r="V9" s="8">
        <f t="shared" si="0"/>
        <v>15346.293113729069</v>
      </c>
    </row>
    <row r="10" spans="3:23" x14ac:dyDescent="0.3">
      <c r="C10" s="93"/>
      <c r="D10" s="7" t="s">
        <v>12</v>
      </c>
      <c r="E10" s="8"/>
      <c r="F10" s="8"/>
      <c r="G10" s="8"/>
      <c r="H10" s="8"/>
      <c r="I10" s="8"/>
      <c r="J10" s="8"/>
      <c r="K10" s="8"/>
      <c r="L10" s="8"/>
      <c r="M10" s="8"/>
      <c r="N10" s="8">
        <v>615.42715006181834</v>
      </c>
      <c r="O10" s="8"/>
      <c r="P10" s="8"/>
      <c r="Q10" s="8"/>
      <c r="R10" s="8"/>
      <c r="S10" s="8"/>
      <c r="T10" s="8"/>
      <c r="U10" s="3"/>
      <c r="V10" s="8">
        <f t="shared" si="0"/>
        <v>615.42715006181834</v>
      </c>
    </row>
    <row r="11" spans="3:23" x14ac:dyDescent="0.3">
      <c r="C11" s="93"/>
      <c r="D11" s="7" t="s">
        <v>13</v>
      </c>
      <c r="E11" s="8"/>
      <c r="F11" s="8"/>
      <c r="G11" s="8"/>
      <c r="H11" s="8"/>
      <c r="I11" s="8"/>
      <c r="J11" s="8"/>
      <c r="K11" s="8"/>
      <c r="L11" s="8"/>
      <c r="M11" s="8"/>
      <c r="N11" s="8">
        <v>397.37907483984725</v>
      </c>
      <c r="O11" s="8"/>
      <c r="P11" s="8"/>
      <c r="Q11" s="8"/>
      <c r="R11" s="8"/>
      <c r="S11" s="8"/>
      <c r="T11" s="8"/>
      <c r="U11" s="3"/>
      <c r="V11" s="8">
        <f t="shared" si="0"/>
        <v>397.37907483984725</v>
      </c>
    </row>
    <row r="12" spans="3:23" x14ac:dyDescent="0.3">
      <c r="C12" s="93"/>
      <c r="D12" s="7" t="s">
        <v>48</v>
      </c>
      <c r="E12" s="8"/>
      <c r="F12" s="8"/>
      <c r="G12" s="8">
        <v>511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3"/>
      <c r="V12" s="8">
        <f t="shared" si="0"/>
        <v>511</v>
      </c>
    </row>
    <row r="13" spans="3:23" x14ac:dyDescent="0.3">
      <c r="C13" s="93"/>
      <c r="D13" s="7" t="s">
        <v>49</v>
      </c>
      <c r="E13" s="8"/>
      <c r="F13" s="8"/>
      <c r="G13" s="8">
        <v>222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3"/>
      <c r="V13" s="8">
        <f t="shared" si="0"/>
        <v>222</v>
      </c>
    </row>
    <row r="14" spans="3:23" x14ac:dyDescent="0.3">
      <c r="C14" s="93"/>
      <c r="D14" s="7" t="s">
        <v>66</v>
      </c>
      <c r="E14" s="8"/>
      <c r="F14" s="8"/>
      <c r="G14" s="8">
        <v>222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3"/>
      <c r="V14" s="8">
        <f t="shared" si="0"/>
        <v>222</v>
      </c>
      <c r="W14" s="33" t="s">
        <v>91</v>
      </c>
    </row>
    <row r="15" spans="3:23" x14ac:dyDescent="0.3">
      <c r="C15" s="93"/>
      <c r="D15" s="7" t="s">
        <v>90</v>
      </c>
      <c r="E15" s="8"/>
      <c r="F15" s="8"/>
      <c r="G15" s="8">
        <v>222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"/>
      <c r="V15" s="8">
        <f t="shared" si="0"/>
        <v>222</v>
      </c>
    </row>
    <row r="16" spans="3:23" x14ac:dyDescent="0.3">
      <c r="C16" s="94"/>
      <c r="D16" s="14" t="s">
        <v>17</v>
      </c>
      <c r="E16" s="15">
        <v>0</v>
      </c>
      <c r="F16" s="15">
        <f>+SUM(F8:F15)</f>
        <v>0</v>
      </c>
      <c r="G16" s="15">
        <f t="shared" ref="G16:T16" si="1">+SUM(G8:G15)</f>
        <v>1177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7286.5238830526414</v>
      </c>
      <c r="N16" s="15">
        <f t="shared" si="1"/>
        <v>16359.099338630735</v>
      </c>
      <c r="O16" s="15">
        <f t="shared" si="1"/>
        <v>0</v>
      </c>
      <c r="P16" s="15">
        <f t="shared" si="1"/>
        <v>0</v>
      </c>
      <c r="Q16" s="15">
        <f t="shared" si="1"/>
        <v>0</v>
      </c>
      <c r="R16" s="15">
        <f t="shared" si="1"/>
        <v>0</v>
      </c>
      <c r="S16" s="15">
        <f t="shared" si="1"/>
        <v>0</v>
      </c>
      <c r="T16" s="15">
        <f t="shared" si="1"/>
        <v>0</v>
      </c>
      <c r="U16" s="3"/>
      <c r="V16" s="15">
        <f>+SUM(V8:V15)</f>
        <v>24822.623221683374</v>
      </c>
    </row>
    <row r="17" spans="2:26" x14ac:dyDescent="0.3">
      <c r="C17" s="92" t="s">
        <v>6</v>
      </c>
      <c r="D17" s="7" t="s">
        <v>61</v>
      </c>
      <c r="E17" s="8"/>
      <c r="F17" s="20">
        <v>5000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3"/>
      <c r="V17" s="8">
        <f>+SUM(F17:T17)</f>
        <v>5000</v>
      </c>
    </row>
    <row r="18" spans="2:26" x14ac:dyDescent="0.3">
      <c r="C18" s="93"/>
      <c r="D18" s="7" t="s">
        <v>33</v>
      </c>
      <c r="E18" s="8"/>
      <c r="F18" s="8"/>
      <c r="G18" s="8">
        <v>600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"/>
      <c r="V18" s="8">
        <f t="shared" ref="V18:V31" si="2">+SUM(F18:T18)</f>
        <v>600</v>
      </c>
      <c r="W18" s="1" t="s">
        <v>92</v>
      </c>
    </row>
    <row r="19" spans="2:26" x14ac:dyDescent="0.3">
      <c r="B19" s="1">
        <v>1000</v>
      </c>
      <c r="C19" s="93"/>
      <c r="D19" s="7" t="s">
        <v>79</v>
      </c>
      <c r="E19" s="8"/>
      <c r="F19" s="8"/>
      <c r="G19" s="8"/>
      <c r="H19" s="8"/>
      <c r="I19" s="8"/>
      <c r="J19" s="8"/>
      <c r="K19" s="8">
        <f>4.59*1000</f>
        <v>4590</v>
      </c>
      <c r="L19" s="8"/>
      <c r="M19" s="8"/>
      <c r="N19" s="8"/>
      <c r="O19" s="8"/>
      <c r="P19" s="8"/>
      <c r="Q19" s="8"/>
      <c r="R19" s="8"/>
      <c r="S19" s="8"/>
      <c r="T19" s="8"/>
      <c r="U19" s="3"/>
      <c r="V19" s="8">
        <f t="shared" si="2"/>
        <v>4590</v>
      </c>
    </row>
    <row r="20" spans="2:26" x14ac:dyDescent="0.3">
      <c r="B20" s="1">
        <v>710</v>
      </c>
      <c r="C20" s="93"/>
      <c r="D20" s="7" t="s">
        <v>80</v>
      </c>
      <c r="E20" s="8"/>
      <c r="F20" s="8"/>
      <c r="G20" s="8"/>
      <c r="H20" s="8"/>
      <c r="I20" s="8"/>
      <c r="J20" s="8"/>
      <c r="K20" s="8"/>
      <c r="L20" s="8">
        <f>4.59*710</f>
        <v>3258.9</v>
      </c>
      <c r="M20" s="8"/>
      <c r="N20" s="8"/>
      <c r="O20" s="8"/>
      <c r="P20" s="8"/>
      <c r="Q20" s="8"/>
      <c r="R20" s="8"/>
      <c r="S20" s="8"/>
      <c r="T20" s="8"/>
      <c r="U20" s="3"/>
      <c r="V20" s="8">
        <f t="shared" si="2"/>
        <v>3258.9</v>
      </c>
    </row>
    <row r="21" spans="2:26" x14ac:dyDescent="0.3">
      <c r="B21" s="1">
        <v>240</v>
      </c>
      <c r="C21" s="93"/>
      <c r="D21" s="7" t="s">
        <v>81</v>
      </c>
      <c r="E21" s="8"/>
      <c r="F21" s="8"/>
      <c r="G21" s="8"/>
      <c r="H21" s="8"/>
      <c r="I21" s="8"/>
      <c r="J21" s="8"/>
      <c r="K21" s="8"/>
      <c r="L21" s="8">
        <f>240*4.59</f>
        <v>1101.5999999999999</v>
      </c>
      <c r="M21" s="8"/>
      <c r="N21" s="8"/>
      <c r="O21" s="8"/>
      <c r="P21" s="8"/>
      <c r="Q21" s="8"/>
      <c r="R21" s="8"/>
      <c r="S21" s="8"/>
      <c r="T21" s="8"/>
      <c r="U21" s="3"/>
      <c r="V21" s="8">
        <f t="shared" si="2"/>
        <v>1101.5999999999999</v>
      </c>
    </row>
    <row r="22" spans="2:26" x14ac:dyDescent="0.3">
      <c r="B22" s="1">
        <v>330</v>
      </c>
      <c r="C22" s="93"/>
      <c r="D22" s="7" t="s">
        <v>82</v>
      </c>
      <c r="E22" s="8"/>
      <c r="F22" s="8"/>
      <c r="G22" s="8"/>
      <c r="H22" s="8"/>
      <c r="I22" s="8"/>
      <c r="J22" s="8"/>
      <c r="K22" s="8"/>
      <c r="L22" s="8">
        <f>330*4.59</f>
        <v>1514.7</v>
      </c>
      <c r="M22" s="8"/>
      <c r="N22" s="8"/>
      <c r="O22" s="8"/>
      <c r="P22" s="8"/>
      <c r="Q22" s="8"/>
      <c r="R22" s="8"/>
      <c r="S22" s="8"/>
      <c r="T22" s="8"/>
      <c r="U22" s="3"/>
      <c r="V22" s="8">
        <f t="shared" si="2"/>
        <v>1514.7</v>
      </c>
    </row>
    <row r="23" spans="2:26" x14ac:dyDescent="0.3">
      <c r="B23" s="1">
        <v>370</v>
      </c>
      <c r="C23" s="93"/>
      <c r="D23" s="7" t="s">
        <v>83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>
        <f>5.3*370</f>
        <v>1961</v>
      </c>
      <c r="Q23" s="8"/>
      <c r="R23" s="8"/>
      <c r="S23" s="8"/>
      <c r="T23" s="8"/>
      <c r="U23" s="3"/>
      <c r="V23" s="8">
        <f t="shared" si="2"/>
        <v>1961</v>
      </c>
    </row>
    <row r="24" spans="2:26" x14ac:dyDescent="0.3">
      <c r="B24" s="1">
        <v>800</v>
      </c>
      <c r="C24" s="93"/>
      <c r="D24" s="7" t="s">
        <v>84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>
        <f>5.3*800</f>
        <v>4240</v>
      </c>
      <c r="S24" s="8"/>
      <c r="T24" s="8"/>
      <c r="U24" s="3"/>
      <c r="V24" s="8">
        <f t="shared" si="2"/>
        <v>4240</v>
      </c>
    </row>
    <row r="25" spans="2:26" x14ac:dyDescent="0.3">
      <c r="B25" s="1">
        <v>520</v>
      </c>
      <c r="C25" s="93"/>
      <c r="D25" s="7" t="s">
        <v>85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>
        <f>520*4.59</f>
        <v>2386.7999999999997</v>
      </c>
      <c r="T25" s="8"/>
      <c r="U25" s="3"/>
      <c r="V25" s="8">
        <f t="shared" si="2"/>
        <v>2386.7999999999997</v>
      </c>
    </row>
    <row r="26" spans="2:26" x14ac:dyDescent="0.3">
      <c r="B26" s="1">
        <v>111</v>
      </c>
      <c r="C26" s="93"/>
      <c r="D26" s="7" t="s">
        <v>86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>
        <f>3.22*111</f>
        <v>357.42</v>
      </c>
      <c r="T26" s="8"/>
      <c r="U26" s="3"/>
      <c r="V26" s="8">
        <f t="shared" si="2"/>
        <v>357.42</v>
      </c>
    </row>
    <row r="27" spans="2:26" x14ac:dyDescent="0.3">
      <c r="B27" s="1">
        <v>124</v>
      </c>
      <c r="C27" s="93"/>
      <c r="D27" s="7" t="s">
        <v>87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>
        <f>3.22*124</f>
        <v>399.28000000000003</v>
      </c>
      <c r="T27" s="8"/>
      <c r="U27" s="3"/>
      <c r="V27" s="8">
        <f t="shared" si="2"/>
        <v>399.28000000000003</v>
      </c>
    </row>
    <row r="28" spans="2:26" x14ac:dyDescent="0.3">
      <c r="B28" s="1">
        <v>137</v>
      </c>
      <c r="C28" s="93"/>
      <c r="D28" s="7" t="s">
        <v>88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f>137*3.22</f>
        <v>441.14000000000004</v>
      </c>
      <c r="T28" s="8"/>
      <c r="U28" s="3"/>
      <c r="V28" s="8">
        <f t="shared" si="2"/>
        <v>441.14000000000004</v>
      </c>
    </row>
    <row r="29" spans="2:26" x14ac:dyDescent="0.3">
      <c r="C29" s="93"/>
      <c r="D29" s="7" t="s">
        <v>74</v>
      </c>
      <c r="E29" s="8"/>
      <c r="F29" s="8"/>
      <c r="G29" s="8"/>
      <c r="H29" s="8"/>
      <c r="I29" s="8"/>
      <c r="J29" s="22">
        <v>326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3"/>
      <c r="V29" s="8">
        <f t="shared" si="2"/>
        <v>326</v>
      </c>
      <c r="W29" s="1" t="s">
        <v>97</v>
      </c>
    </row>
    <row r="30" spans="2:26" x14ac:dyDescent="0.3">
      <c r="C30" s="93"/>
      <c r="D30" s="7" t="s">
        <v>94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22">
        <v>3000</v>
      </c>
      <c r="T30" s="8"/>
      <c r="U30" s="3"/>
      <c r="V30" s="8">
        <f t="shared" si="2"/>
        <v>3000</v>
      </c>
      <c r="W30" s="1" t="s">
        <v>93</v>
      </c>
      <c r="Y30" s="1" t="s">
        <v>100</v>
      </c>
    </row>
    <row r="31" spans="2:26" x14ac:dyDescent="0.3">
      <c r="C31" s="93"/>
      <c r="D31" s="19" t="s">
        <v>98</v>
      </c>
      <c r="E31" s="18"/>
      <c r="F31" s="20"/>
      <c r="G31" s="20">
        <v>5600</v>
      </c>
      <c r="H31" s="34">
        <v>7000</v>
      </c>
      <c r="I31" s="34">
        <f>+H31</f>
        <v>7000</v>
      </c>
      <c r="J31" s="34">
        <f t="shared" ref="J31:T31" si="3">+I31</f>
        <v>7000</v>
      </c>
      <c r="K31" s="34">
        <f t="shared" si="3"/>
        <v>7000</v>
      </c>
      <c r="L31" s="34">
        <f t="shared" si="3"/>
        <v>7000</v>
      </c>
      <c r="M31" s="34">
        <f t="shared" si="3"/>
        <v>7000</v>
      </c>
      <c r="N31" s="34">
        <f t="shared" si="3"/>
        <v>7000</v>
      </c>
      <c r="O31" s="34">
        <f t="shared" si="3"/>
        <v>7000</v>
      </c>
      <c r="P31" s="34">
        <f t="shared" si="3"/>
        <v>7000</v>
      </c>
      <c r="Q31" s="34">
        <f t="shared" si="3"/>
        <v>7000</v>
      </c>
      <c r="R31" s="34">
        <f t="shared" si="3"/>
        <v>7000</v>
      </c>
      <c r="S31" s="34">
        <f t="shared" si="3"/>
        <v>7000</v>
      </c>
      <c r="T31" s="34">
        <f t="shared" si="3"/>
        <v>7000</v>
      </c>
      <c r="U31" s="3"/>
      <c r="V31" s="8">
        <f t="shared" si="2"/>
        <v>96600</v>
      </c>
      <c r="Y31" s="1">
        <f>5600/2000</f>
        <v>2.8</v>
      </c>
      <c r="Z31" s="1">
        <f>2500*Y31</f>
        <v>7000</v>
      </c>
    </row>
    <row r="32" spans="2:26" x14ac:dyDescent="0.3">
      <c r="C32" s="94"/>
      <c r="D32" s="14" t="s">
        <v>18</v>
      </c>
      <c r="E32" s="15">
        <v>0</v>
      </c>
      <c r="F32" s="15">
        <f t="shared" ref="F32:T32" si="4">+SUM(F17:F31)</f>
        <v>5000</v>
      </c>
      <c r="G32" s="15">
        <f t="shared" si="4"/>
        <v>6200</v>
      </c>
      <c r="H32" s="15">
        <f t="shared" si="4"/>
        <v>7000</v>
      </c>
      <c r="I32" s="15">
        <f t="shared" si="4"/>
        <v>7000</v>
      </c>
      <c r="J32" s="15">
        <f t="shared" si="4"/>
        <v>7326</v>
      </c>
      <c r="K32" s="15">
        <f t="shared" si="4"/>
        <v>11590</v>
      </c>
      <c r="L32" s="15">
        <f t="shared" si="4"/>
        <v>12875.2</v>
      </c>
      <c r="M32" s="15">
        <f t="shared" si="4"/>
        <v>7000</v>
      </c>
      <c r="N32" s="15">
        <f t="shared" si="4"/>
        <v>7000</v>
      </c>
      <c r="O32" s="15">
        <f t="shared" si="4"/>
        <v>7000</v>
      </c>
      <c r="P32" s="15">
        <f t="shared" si="4"/>
        <v>8961</v>
      </c>
      <c r="Q32" s="15">
        <f t="shared" si="4"/>
        <v>7000</v>
      </c>
      <c r="R32" s="15">
        <f t="shared" si="4"/>
        <v>11240</v>
      </c>
      <c r="S32" s="15">
        <f t="shared" si="4"/>
        <v>13584.64</v>
      </c>
      <c r="T32" s="15">
        <f t="shared" si="4"/>
        <v>7000</v>
      </c>
      <c r="U32" s="3"/>
      <c r="V32" s="15">
        <f>+SUM(F32:T32)</f>
        <v>125776.84</v>
      </c>
    </row>
    <row r="33" spans="3:23" x14ac:dyDescent="0.3">
      <c r="C33" s="92" t="s">
        <v>7</v>
      </c>
      <c r="D33" s="7" t="s">
        <v>102</v>
      </c>
      <c r="E33" s="8"/>
      <c r="F33" s="8"/>
      <c r="G33" s="22">
        <v>200</v>
      </c>
      <c r="H33" s="22">
        <f>+G33</f>
        <v>200</v>
      </c>
      <c r="I33" s="22">
        <f t="shared" ref="I33:T33" si="5">+H33</f>
        <v>200</v>
      </c>
      <c r="J33" s="22">
        <f t="shared" si="5"/>
        <v>200</v>
      </c>
      <c r="K33" s="22">
        <f t="shared" si="5"/>
        <v>200</v>
      </c>
      <c r="L33" s="22">
        <f t="shared" si="5"/>
        <v>200</v>
      </c>
      <c r="M33" s="22">
        <f t="shared" si="5"/>
        <v>200</v>
      </c>
      <c r="N33" s="22">
        <f t="shared" si="5"/>
        <v>200</v>
      </c>
      <c r="O33" s="22">
        <f t="shared" si="5"/>
        <v>200</v>
      </c>
      <c r="P33" s="22">
        <f t="shared" si="5"/>
        <v>200</v>
      </c>
      <c r="Q33" s="22">
        <f t="shared" si="5"/>
        <v>200</v>
      </c>
      <c r="R33" s="22">
        <f t="shared" si="5"/>
        <v>200</v>
      </c>
      <c r="S33" s="22">
        <f t="shared" si="5"/>
        <v>200</v>
      </c>
      <c r="T33" s="22">
        <f t="shared" si="5"/>
        <v>200</v>
      </c>
      <c r="U33" s="3"/>
      <c r="V33" s="8">
        <f>+SUM(F33:T33)</f>
        <v>2800</v>
      </c>
    </row>
    <row r="34" spans="3:23" x14ac:dyDescent="0.3">
      <c r="C34" s="93"/>
      <c r="D34" s="7" t="s">
        <v>105</v>
      </c>
      <c r="E34" s="8"/>
      <c r="F34" s="13">
        <v>330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3"/>
      <c r="V34" s="8">
        <f t="shared" ref="V34:V57" si="6">+SUM(F34:T34)</f>
        <v>330</v>
      </c>
      <c r="W34" s="1" t="s">
        <v>95</v>
      </c>
    </row>
    <row r="35" spans="3:23" x14ac:dyDescent="0.3">
      <c r="C35" s="93"/>
      <c r="D35" s="7" t="s">
        <v>31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>
        <v>758.25095326069072</v>
      </c>
      <c r="P35" s="8"/>
      <c r="Q35" s="8"/>
      <c r="R35" s="8"/>
      <c r="S35" s="8"/>
      <c r="T35" s="8"/>
      <c r="U35" s="3"/>
      <c r="V35" s="8">
        <f t="shared" si="6"/>
        <v>758.25095326069072</v>
      </c>
    </row>
    <row r="36" spans="3:23" x14ac:dyDescent="0.3">
      <c r="C36" s="93"/>
      <c r="D36" s="7" t="s">
        <v>32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>
        <v>905.14024400002631</v>
      </c>
      <c r="Q36" s="8"/>
      <c r="R36" s="8"/>
      <c r="S36" s="8"/>
      <c r="T36" s="8"/>
      <c r="U36" s="3"/>
      <c r="V36" s="8">
        <f t="shared" si="6"/>
        <v>905.14024400002631</v>
      </c>
    </row>
    <row r="37" spans="3:23" x14ac:dyDescent="0.3">
      <c r="C37" s="93"/>
      <c r="D37" s="7" t="s">
        <v>41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>
        <v>1370.1</v>
      </c>
      <c r="R37" s="8"/>
      <c r="S37" s="8"/>
      <c r="T37" s="8"/>
      <c r="U37" s="3"/>
      <c r="V37" s="8">
        <f t="shared" si="6"/>
        <v>1370.1</v>
      </c>
    </row>
    <row r="38" spans="3:23" x14ac:dyDescent="0.3">
      <c r="C38" s="93"/>
      <c r="D38" s="7" t="s">
        <v>42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>
        <v>1250</v>
      </c>
      <c r="R38" s="8"/>
      <c r="S38" s="8"/>
      <c r="T38" s="8"/>
      <c r="U38" s="3"/>
      <c r="V38" s="8">
        <f t="shared" si="6"/>
        <v>1250</v>
      </c>
    </row>
    <row r="39" spans="3:23" x14ac:dyDescent="0.3">
      <c r="C39" s="93"/>
      <c r="D39" s="7" t="s">
        <v>43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>
        <v>900</v>
      </c>
      <c r="R39" s="8"/>
      <c r="S39" s="8"/>
      <c r="T39" s="8"/>
      <c r="U39" s="3"/>
      <c r="V39" s="8">
        <f t="shared" si="6"/>
        <v>900</v>
      </c>
    </row>
    <row r="40" spans="3:23" x14ac:dyDescent="0.3">
      <c r="C40" s="93"/>
      <c r="D40" s="35" t="s">
        <v>101</v>
      </c>
      <c r="E40" s="22"/>
      <c r="F40" s="8"/>
      <c r="G40" s="8"/>
      <c r="H40" s="22">
        <v>3000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3"/>
      <c r="V40" s="8">
        <f t="shared" si="6"/>
        <v>3000</v>
      </c>
    </row>
    <row r="41" spans="3:23" x14ac:dyDescent="0.3">
      <c r="C41" s="93"/>
      <c r="D41" s="35" t="s">
        <v>99</v>
      </c>
      <c r="E41" s="22"/>
      <c r="F41" s="8"/>
      <c r="G41" s="8"/>
      <c r="H41" s="40">
        <f>100000000/36800/1.2</f>
        <v>2264.4927536231885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3"/>
      <c r="V41" s="8">
        <f t="shared" si="6"/>
        <v>2264.4927536231885</v>
      </c>
    </row>
    <row r="42" spans="3:23" x14ac:dyDescent="0.3">
      <c r="C42" s="93"/>
      <c r="D42" s="7" t="s">
        <v>28</v>
      </c>
      <c r="E42" s="8" t="s">
        <v>22</v>
      </c>
      <c r="F42" s="8"/>
      <c r="G42" s="8"/>
      <c r="H42" s="8"/>
      <c r="I42" s="8"/>
      <c r="J42" s="8"/>
      <c r="K42" s="8"/>
      <c r="L42" s="8"/>
      <c r="M42" s="8"/>
      <c r="N42" s="8">
        <v>777.55382891905617</v>
      </c>
      <c r="O42" s="8"/>
      <c r="P42" s="8"/>
      <c r="Q42" s="8"/>
      <c r="R42" s="8"/>
      <c r="S42" s="8"/>
      <c r="T42" s="8"/>
      <c r="U42" s="3"/>
      <c r="V42" s="8">
        <f t="shared" si="6"/>
        <v>777.55382891905617</v>
      </c>
    </row>
    <row r="43" spans="3:23" x14ac:dyDescent="0.3">
      <c r="C43" s="93"/>
      <c r="D43" s="7" t="s">
        <v>29</v>
      </c>
      <c r="E43" s="8" t="s">
        <v>22</v>
      </c>
      <c r="F43" s="8"/>
      <c r="G43" s="8"/>
      <c r="H43" s="8"/>
      <c r="I43" s="8"/>
      <c r="J43" s="8"/>
      <c r="K43" s="8"/>
      <c r="L43" s="8"/>
      <c r="M43" s="8"/>
      <c r="N43" s="8">
        <v>1937.4717074651894</v>
      </c>
      <c r="O43" s="8"/>
      <c r="P43" s="8"/>
      <c r="Q43" s="8"/>
      <c r="R43" s="8"/>
      <c r="S43" s="8"/>
      <c r="T43" s="8"/>
      <c r="U43" s="3"/>
      <c r="V43" s="8">
        <f t="shared" si="6"/>
        <v>1937.4717074651894</v>
      </c>
    </row>
    <row r="44" spans="3:23" x14ac:dyDescent="0.3">
      <c r="C44" s="93"/>
      <c r="D44" s="7" t="s">
        <v>14</v>
      </c>
      <c r="E44" s="8"/>
      <c r="F44" s="8"/>
      <c r="G44" s="8"/>
      <c r="H44" s="8"/>
      <c r="I44" s="8"/>
      <c r="J44" s="8"/>
      <c r="K44" s="8"/>
      <c r="L44" s="8"/>
      <c r="M44" s="8"/>
      <c r="N44" s="8">
        <v>1179.47778879509</v>
      </c>
      <c r="O44" s="8"/>
      <c r="P44" s="8"/>
      <c r="Q44" s="8"/>
      <c r="R44" s="8"/>
      <c r="S44" s="8"/>
      <c r="T44" s="8"/>
      <c r="U44" s="3"/>
      <c r="V44" s="8">
        <f t="shared" si="6"/>
        <v>1179.47778879509</v>
      </c>
    </row>
    <row r="45" spans="3:23" x14ac:dyDescent="0.3">
      <c r="C45" s="93"/>
      <c r="D45" s="7" t="s">
        <v>27</v>
      </c>
      <c r="E45" s="8" t="s">
        <v>22</v>
      </c>
      <c r="F45" s="8"/>
      <c r="G45" s="8"/>
      <c r="H45" s="8"/>
      <c r="I45" s="8"/>
      <c r="J45" s="8"/>
      <c r="K45" s="8">
        <v>1284.7947392070291</v>
      </c>
      <c r="L45" s="8"/>
      <c r="M45" s="8"/>
      <c r="N45" s="8"/>
      <c r="O45" s="8"/>
      <c r="P45" s="8"/>
      <c r="Q45" s="8"/>
      <c r="R45" s="8"/>
      <c r="S45" s="8"/>
      <c r="T45" s="8"/>
      <c r="U45" s="3"/>
      <c r="V45" s="8">
        <f t="shared" si="6"/>
        <v>1284.7947392070291</v>
      </c>
    </row>
    <row r="46" spans="3:23" x14ac:dyDescent="0.3">
      <c r="C46" s="93"/>
      <c r="D46" s="7" t="s">
        <v>23</v>
      </c>
      <c r="E46" s="8" t="s">
        <v>21</v>
      </c>
      <c r="F46" s="8"/>
      <c r="G46" s="8"/>
      <c r="H46" s="8"/>
      <c r="I46" s="8"/>
      <c r="J46" s="8"/>
      <c r="K46" s="8"/>
      <c r="L46" s="8"/>
      <c r="M46" s="8"/>
      <c r="N46" s="8">
        <v>1590.7278236895932</v>
      </c>
      <c r="O46" s="8"/>
      <c r="P46" s="8"/>
      <c r="Q46" s="8"/>
      <c r="R46" s="8"/>
      <c r="S46" s="8"/>
      <c r="T46" s="8"/>
      <c r="U46" s="3"/>
      <c r="V46" s="8">
        <f t="shared" si="6"/>
        <v>1590.7278236895932</v>
      </c>
    </row>
    <row r="47" spans="3:23" x14ac:dyDescent="0.3">
      <c r="C47" s="93"/>
      <c r="D47" s="7" t="s">
        <v>26</v>
      </c>
      <c r="E47" s="8" t="s">
        <v>22</v>
      </c>
      <c r="F47" s="8"/>
      <c r="G47" s="8"/>
      <c r="H47" s="8"/>
      <c r="I47" s="8">
        <v>341.29347680492879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3"/>
      <c r="V47" s="8">
        <f t="shared" si="6"/>
        <v>341.29347680492879</v>
      </c>
    </row>
    <row r="48" spans="3:23" x14ac:dyDescent="0.3">
      <c r="C48" s="93"/>
      <c r="D48" s="7" t="s">
        <v>57</v>
      </c>
      <c r="E48" s="8"/>
      <c r="F48" s="8"/>
      <c r="G48" s="8"/>
      <c r="H48" s="8">
        <v>100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3"/>
      <c r="V48" s="8">
        <f t="shared" si="6"/>
        <v>100</v>
      </c>
    </row>
    <row r="49" spans="3:24" x14ac:dyDescent="0.3">
      <c r="C49" s="93"/>
      <c r="D49" s="7" t="s">
        <v>77</v>
      </c>
      <c r="E49" s="8"/>
      <c r="F49" s="8"/>
      <c r="G49" s="8"/>
      <c r="H49" s="8"/>
      <c r="I49" s="8"/>
      <c r="J49" s="8">
        <f>6.16*712</f>
        <v>4385.92</v>
      </c>
      <c r="K49" s="8"/>
      <c r="L49" s="8"/>
      <c r="M49" s="8"/>
      <c r="N49" s="8"/>
      <c r="O49" s="8"/>
      <c r="P49" s="8"/>
      <c r="Q49" s="8"/>
      <c r="R49" s="8"/>
      <c r="S49" s="8"/>
      <c r="T49" s="8"/>
      <c r="U49" s="3"/>
      <c r="V49" s="8">
        <f t="shared" si="6"/>
        <v>4385.92</v>
      </c>
    </row>
    <row r="50" spans="3:24" x14ac:dyDescent="0.3">
      <c r="C50" s="93"/>
      <c r="D50" s="12" t="s">
        <v>67</v>
      </c>
      <c r="E50" s="13"/>
      <c r="F50" s="13"/>
      <c r="G50" s="13"/>
      <c r="H50" s="13">
        <v>1087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V50" s="13">
        <f t="shared" si="6"/>
        <v>1087</v>
      </c>
    </row>
    <row r="51" spans="3:24" x14ac:dyDescent="0.3">
      <c r="C51" s="93"/>
      <c r="D51" s="7" t="s">
        <v>68</v>
      </c>
      <c r="E51" s="8"/>
      <c r="F51" s="8"/>
      <c r="G51" s="8"/>
      <c r="H51" s="8">
        <v>200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3"/>
      <c r="V51" s="8">
        <f t="shared" si="6"/>
        <v>200</v>
      </c>
    </row>
    <row r="52" spans="3:24" x14ac:dyDescent="0.3">
      <c r="C52" s="93"/>
      <c r="D52" s="7" t="s">
        <v>69</v>
      </c>
      <c r="E52" s="8"/>
      <c r="F52" s="8"/>
      <c r="G52" s="8"/>
      <c r="H52" s="8"/>
      <c r="I52" s="8">
        <v>408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3"/>
      <c r="V52" s="8">
        <f t="shared" si="6"/>
        <v>408</v>
      </c>
    </row>
    <row r="53" spans="3:24" x14ac:dyDescent="0.3">
      <c r="C53" s="93"/>
      <c r="D53" s="7" t="s">
        <v>70</v>
      </c>
      <c r="E53" s="8"/>
      <c r="F53" s="8"/>
      <c r="G53" s="8"/>
      <c r="H53" s="8"/>
      <c r="I53" s="8">
        <v>226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3"/>
      <c r="V53" s="8">
        <f t="shared" si="6"/>
        <v>226</v>
      </c>
    </row>
    <row r="54" spans="3:24" ht="13.95" customHeight="1" x14ac:dyDescent="0.3">
      <c r="C54" s="93"/>
      <c r="D54" s="7" t="s">
        <v>71</v>
      </c>
      <c r="E54" s="8"/>
      <c r="F54" s="8"/>
      <c r="G54" s="8"/>
      <c r="H54" s="8"/>
      <c r="I54" s="8"/>
      <c r="J54" s="8">
        <v>489</v>
      </c>
      <c r="K54" s="8"/>
      <c r="L54" s="8"/>
      <c r="M54" s="8"/>
      <c r="N54" s="8"/>
      <c r="O54" s="8"/>
      <c r="P54" s="8"/>
      <c r="Q54" s="8"/>
      <c r="R54" s="8"/>
      <c r="S54" s="8"/>
      <c r="T54" s="8"/>
      <c r="U54" s="3"/>
      <c r="V54" s="8">
        <f t="shared" si="6"/>
        <v>489</v>
      </c>
    </row>
    <row r="55" spans="3:24" x14ac:dyDescent="0.3">
      <c r="C55" s="93"/>
      <c r="D55" s="7" t="s">
        <v>72</v>
      </c>
      <c r="E55" s="8"/>
      <c r="F55" s="8"/>
      <c r="G55" s="8"/>
      <c r="H55" s="8"/>
      <c r="I55" s="22">
        <v>226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3"/>
      <c r="V55" s="8">
        <f t="shared" si="6"/>
        <v>226</v>
      </c>
      <c r="W55" s="1" t="s">
        <v>97</v>
      </c>
    </row>
    <row r="56" spans="3:24" x14ac:dyDescent="0.3">
      <c r="C56" s="93"/>
      <c r="D56" s="7" t="s">
        <v>73</v>
      </c>
      <c r="E56" s="8"/>
      <c r="F56" s="8"/>
      <c r="G56" s="8"/>
      <c r="H56" s="8"/>
      <c r="I56" s="8"/>
      <c r="J56" s="22">
        <v>226</v>
      </c>
      <c r="K56" s="8"/>
      <c r="L56" s="8"/>
      <c r="M56" s="8"/>
      <c r="N56" s="8"/>
      <c r="O56" s="8"/>
      <c r="P56" s="8"/>
      <c r="Q56" s="8"/>
      <c r="R56" s="8"/>
      <c r="S56" s="8"/>
      <c r="T56" s="8"/>
      <c r="U56" s="3"/>
      <c r="V56" s="8">
        <f t="shared" si="6"/>
        <v>226</v>
      </c>
      <c r="W56" s="1" t="s">
        <v>96</v>
      </c>
    </row>
    <row r="57" spans="3:24" x14ac:dyDescent="0.3">
      <c r="C57" s="93"/>
      <c r="D57" s="19" t="s">
        <v>103</v>
      </c>
      <c r="E57" s="18"/>
      <c r="F57" s="39">
        <v>3500</v>
      </c>
      <c r="G57" s="39">
        <v>3500</v>
      </c>
      <c r="H57" s="34">
        <v>5250</v>
      </c>
      <c r="I57" s="34">
        <f>+H57</f>
        <v>5250</v>
      </c>
      <c r="J57" s="34">
        <f t="shared" ref="J57:T57" si="7">+I57</f>
        <v>5250</v>
      </c>
      <c r="K57" s="34">
        <f t="shared" si="7"/>
        <v>5250</v>
      </c>
      <c r="L57" s="34">
        <f t="shared" si="7"/>
        <v>5250</v>
      </c>
      <c r="M57" s="34">
        <f t="shared" si="7"/>
        <v>5250</v>
      </c>
      <c r="N57" s="34">
        <f t="shared" si="7"/>
        <v>5250</v>
      </c>
      <c r="O57" s="34">
        <f t="shared" si="7"/>
        <v>5250</v>
      </c>
      <c r="P57" s="34">
        <f t="shared" si="7"/>
        <v>5250</v>
      </c>
      <c r="Q57" s="34">
        <f t="shared" si="7"/>
        <v>5250</v>
      </c>
      <c r="R57" s="34">
        <f t="shared" si="7"/>
        <v>5250</v>
      </c>
      <c r="S57" s="34">
        <f t="shared" si="7"/>
        <v>5250</v>
      </c>
      <c r="T57" s="34">
        <f t="shared" si="7"/>
        <v>5250</v>
      </c>
      <c r="U57" s="3"/>
      <c r="V57" s="8">
        <f t="shared" si="6"/>
        <v>75250</v>
      </c>
      <c r="X57" s="1">
        <f>3500/1000</f>
        <v>3.5</v>
      </c>
    </row>
    <row r="58" spans="3:24" x14ac:dyDescent="0.3">
      <c r="C58" s="94"/>
      <c r="D58" s="14" t="s">
        <v>19</v>
      </c>
      <c r="E58" s="15">
        <v>0</v>
      </c>
      <c r="F58" s="15">
        <f t="shared" ref="F58:T58" si="8">+SUM(F33:F57)</f>
        <v>3830</v>
      </c>
      <c r="G58" s="15">
        <f t="shared" si="8"/>
        <v>3700</v>
      </c>
      <c r="H58" s="15">
        <f t="shared" si="8"/>
        <v>12101.492753623188</v>
      </c>
      <c r="I58" s="15">
        <f t="shared" si="8"/>
        <v>6651.293476804929</v>
      </c>
      <c r="J58" s="15">
        <f t="shared" si="8"/>
        <v>10550.92</v>
      </c>
      <c r="K58" s="15">
        <f t="shared" si="8"/>
        <v>6734.7947392070291</v>
      </c>
      <c r="L58" s="15">
        <f t="shared" si="8"/>
        <v>5450</v>
      </c>
      <c r="M58" s="15">
        <f t="shared" si="8"/>
        <v>5450</v>
      </c>
      <c r="N58" s="15">
        <f t="shared" si="8"/>
        <v>10935.231148868928</v>
      </c>
      <c r="O58" s="15">
        <f t="shared" si="8"/>
        <v>6208.2509532606909</v>
      </c>
      <c r="P58" s="15">
        <f t="shared" si="8"/>
        <v>6355.1402440000265</v>
      </c>
      <c r="Q58" s="15">
        <f t="shared" si="8"/>
        <v>8970.1</v>
      </c>
      <c r="R58" s="15">
        <f t="shared" si="8"/>
        <v>5450</v>
      </c>
      <c r="S58" s="15">
        <f t="shared" si="8"/>
        <v>5450</v>
      </c>
      <c r="T58" s="15">
        <f t="shared" si="8"/>
        <v>5450</v>
      </c>
      <c r="U58" s="3"/>
      <c r="V58" s="15">
        <f>+SUM(F58:T58)</f>
        <v>103287.22331576479</v>
      </c>
      <c r="X58" s="1">
        <f>1500*X57</f>
        <v>5250</v>
      </c>
    </row>
    <row r="59" spans="3:24" x14ac:dyDescent="0.3">
      <c r="C59" s="92" t="s">
        <v>8</v>
      </c>
      <c r="D59" s="7" t="s">
        <v>58</v>
      </c>
      <c r="E59" s="8"/>
      <c r="F59" s="8"/>
      <c r="G59" s="8"/>
      <c r="H59" s="8">
        <f>61195.9668057236/110*160</f>
        <v>89012.315353779777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3"/>
      <c r="V59" s="8">
        <f>+SUM(F59:T59)</f>
        <v>89012.315353779777</v>
      </c>
    </row>
    <row r="60" spans="3:24" x14ac:dyDescent="0.3">
      <c r="C60" s="93"/>
      <c r="D60" s="7" t="s">
        <v>9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>
        <v>350</v>
      </c>
      <c r="R60" s="8"/>
      <c r="S60" s="8"/>
      <c r="T60" s="8"/>
      <c r="U60" s="3"/>
      <c r="V60" s="8">
        <f>+SUM(F60:T60)</f>
        <v>350</v>
      </c>
    </row>
    <row r="61" spans="3:24" x14ac:dyDescent="0.3">
      <c r="C61" s="93"/>
      <c r="D61" s="7" t="s">
        <v>107</v>
      </c>
      <c r="E61" s="8"/>
      <c r="F61" s="8"/>
      <c r="G61" s="8">
        <v>6580</v>
      </c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3"/>
      <c r="V61" s="8">
        <f t="shared" ref="V61:V63" si="9">+SUM(F61:T61)</f>
        <v>6580</v>
      </c>
    </row>
    <row r="62" spans="3:24" x14ac:dyDescent="0.3">
      <c r="C62" s="93"/>
      <c r="D62" s="37" t="s">
        <v>106</v>
      </c>
      <c r="E62" s="38"/>
      <c r="F62" s="38"/>
      <c r="G62" s="38"/>
      <c r="H62" s="41">
        <f>2*100000000/36800/1.2</f>
        <v>4528.985507246377</v>
      </c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"/>
      <c r="V62" s="8">
        <f t="shared" si="9"/>
        <v>4528.985507246377</v>
      </c>
    </row>
    <row r="63" spans="3:24" x14ac:dyDescent="0.3">
      <c r="C63" s="93"/>
      <c r="D63" s="37" t="s">
        <v>108</v>
      </c>
      <c r="E63" s="38"/>
      <c r="F63" s="38"/>
      <c r="G63" s="38"/>
      <c r="H63" s="41">
        <f>150000000/36800/1.2</f>
        <v>3396.7391304347825</v>
      </c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"/>
      <c r="V63" s="8">
        <f t="shared" si="9"/>
        <v>3396.7391304347825</v>
      </c>
    </row>
    <row r="64" spans="3:24" x14ac:dyDescent="0.3">
      <c r="C64" s="93"/>
      <c r="D64" s="37" t="s">
        <v>109</v>
      </c>
      <c r="E64" s="38"/>
      <c r="F64" s="38"/>
      <c r="G64" s="38"/>
      <c r="H64" s="41">
        <f>10000000/36800/1.2</f>
        <v>226.44927536231887</v>
      </c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"/>
      <c r="V64" s="36">
        <f t="shared" ref="V64" si="10">+SUM(F64:T64)</f>
        <v>226.44927536231887</v>
      </c>
    </row>
    <row r="65" spans="3:23" x14ac:dyDescent="0.3">
      <c r="C65" s="94"/>
      <c r="D65" s="14" t="s">
        <v>20</v>
      </c>
      <c r="E65" s="15">
        <v>0</v>
      </c>
      <c r="F65" s="15">
        <f t="shared" ref="F65:T65" si="11">+SUM(F59:F61)</f>
        <v>0</v>
      </c>
      <c r="G65" s="15">
        <f t="shared" si="11"/>
        <v>6580</v>
      </c>
      <c r="H65" s="15">
        <f>+SUM(H59:H64)</f>
        <v>97164.489266823264</v>
      </c>
      <c r="I65" s="15">
        <f t="shared" si="11"/>
        <v>0</v>
      </c>
      <c r="J65" s="15">
        <f t="shared" si="11"/>
        <v>0</v>
      </c>
      <c r="K65" s="15">
        <f t="shared" si="11"/>
        <v>0</v>
      </c>
      <c r="L65" s="15">
        <f t="shared" si="11"/>
        <v>0</v>
      </c>
      <c r="M65" s="15">
        <f t="shared" si="11"/>
        <v>0</v>
      </c>
      <c r="N65" s="15">
        <f t="shared" si="11"/>
        <v>0</v>
      </c>
      <c r="O65" s="15">
        <f t="shared" si="11"/>
        <v>0</v>
      </c>
      <c r="P65" s="15">
        <f t="shared" si="11"/>
        <v>0</v>
      </c>
      <c r="Q65" s="15">
        <f t="shared" si="11"/>
        <v>350</v>
      </c>
      <c r="R65" s="15">
        <f t="shared" si="11"/>
        <v>0</v>
      </c>
      <c r="S65" s="15">
        <f t="shared" si="11"/>
        <v>0</v>
      </c>
      <c r="T65" s="15">
        <f t="shared" si="11"/>
        <v>0</v>
      </c>
      <c r="U65" s="3"/>
      <c r="V65" s="15">
        <f>+SUM(F65:T65)</f>
        <v>104094.48926682326</v>
      </c>
    </row>
    <row r="66" spans="3:23" x14ac:dyDescent="0.3">
      <c r="C66" s="10"/>
      <c r="D66" s="12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3"/>
      <c r="V66" s="13"/>
    </row>
    <row r="67" spans="3:23" x14ac:dyDescent="0.3">
      <c r="C67" s="9"/>
      <c r="D67" s="9" t="s">
        <v>10</v>
      </c>
      <c r="E67" s="11">
        <v>0</v>
      </c>
      <c r="F67" s="11">
        <f t="shared" ref="F67:T67" si="12">+F65+F58+F32+F16</f>
        <v>8830</v>
      </c>
      <c r="G67" s="11">
        <f t="shared" si="12"/>
        <v>17657</v>
      </c>
      <c r="H67" s="11">
        <f t="shared" si="12"/>
        <v>116265.98202044645</v>
      </c>
      <c r="I67" s="11">
        <f t="shared" si="12"/>
        <v>13651.293476804929</v>
      </c>
      <c r="J67" s="11">
        <f t="shared" si="12"/>
        <v>17876.919999999998</v>
      </c>
      <c r="K67" s="11">
        <f t="shared" si="12"/>
        <v>18324.794739207027</v>
      </c>
      <c r="L67" s="11">
        <f t="shared" si="12"/>
        <v>18325.2</v>
      </c>
      <c r="M67" s="11">
        <f t="shared" si="12"/>
        <v>19736.523883052643</v>
      </c>
      <c r="N67" s="11">
        <f t="shared" si="12"/>
        <v>34294.330487499668</v>
      </c>
      <c r="O67" s="11">
        <f t="shared" si="12"/>
        <v>13208.250953260691</v>
      </c>
      <c r="P67" s="11">
        <f t="shared" si="12"/>
        <v>15316.140244000027</v>
      </c>
      <c r="Q67" s="11">
        <f t="shared" si="12"/>
        <v>16320.1</v>
      </c>
      <c r="R67" s="11">
        <f t="shared" si="12"/>
        <v>16690</v>
      </c>
      <c r="S67" s="11">
        <f t="shared" si="12"/>
        <v>19034.64</v>
      </c>
      <c r="T67" s="11">
        <f t="shared" si="12"/>
        <v>12450</v>
      </c>
      <c r="U67" s="3"/>
      <c r="V67" s="11">
        <f>+V65+V58+V32+V16</f>
        <v>357981.17580427142</v>
      </c>
      <c r="W67" s="16">
        <v>224677.36539268625</v>
      </c>
    </row>
    <row r="68" spans="3:23" x14ac:dyDescent="0.3">
      <c r="W68" s="16"/>
    </row>
    <row r="69" spans="3:23" x14ac:dyDescent="0.3">
      <c r="C69" s="1" t="s">
        <v>37</v>
      </c>
      <c r="D69" s="21" t="s">
        <v>110</v>
      </c>
    </row>
    <row r="70" spans="3:23" x14ac:dyDescent="0.3">
      <c r="D70" s="21" t="s">
        <v>75</v>
      </c>
      <c r="F70" s="17"/>
    </row>
    <row r="71" spans="3:23" x14ac:dyDescent="0.3">
      <c r="D71" s="21" t="s">
        <v>111</v>
      </c>
    </row>
    <row r="72" spans="3:23" x14ac:dyDescent="0.3">
      <c r="D72" s="21" t="s">
        <v>112</v>
      </c>
    </row>
    <row r="73" spans="3:23" x14ac:dyDescent="0.3">
      <c r="D73" s="21" t="s">
        <v>104</v>
      </c>
    </row>
    <row r="76" spans="3:23" x14ac:dyDescent="0.3">
      <c r="F76" s="1">
        <v>50898</v>
      </c>
      <c r="G76" s="1">
        <v>51679</v>
      </c>
      <c r="H76" s="1">
        <v>52459</v>
      </c>
      <c r="I76" s="1">
        <v>53238</v>
      </c>
      <c r="J76" s="1">
        <v>54017</v>
      </c>
    </row>
    <row r="77" spans="3:23" x14ac:dyDescent="0.3">
      <c r="F77" s="32">
        <f>+F67/F76</f>
        <v>0.1734842233486581</v>
      </c>
      <c r="G77" s="32">
        <f>+G67/G76</f>
        <v>0.3416668279184969</v>
      </c>
      <c r="H77" s="32">
        <f>+H67/H76</f>
        <v>2.2163209748650652</v>
      </c>
      <c r="I77" s="32">
        <f>+I67/I76</f>
        <v>0.25642010362532269</v>
      </c>
      <c r="J77" s="32">
        <f>+J67/J76</f>
        <v>0.3309498861469537</v>
      </c>
    </row>
  </sheetData>
  <mergeCells count="8">
    <mergeCell ref="V6:V7"/>
    <mergeCell ref="C8:C16"/>
    <mergeCell ref="C17:C32"/>
    <mergeCell ref="C33:C58"/>
    <mergeCell ref="C59:C65"/>
    <mergeCell ref="C6:C7"/>
    <mergeCell ref="D6:D7"/>
    <mergeCell ref="E6:T6"/>
  </mergeCells>
  <pageMargins left="0.7" right="0.7" top="0.75" bottom="0.75" header="0.3" footer="0.3"/>
  <pageSetup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739EC-0AFB-4D3D-89FB-275809F6DFAA}">
  <dimension ref="B1:W72"/>
  <sheetViews>
    <sheetView topLeftCell="A50" zoomScale="110" zoomScaleNormal="110" workbookViewId="0">
      <selection activeCell="G54" sqref="G54"/>
    </sheetView>
  </sheetViews>
  <sheetFormatPr baseColWidth="10" defaultColWidth="10.88671875" defaultRowHeight="13.2" x14ac:dyDescent="0.3"/>
  <cols>
    <col min="1" max="1" width="10.88671875" style="1"/>
    <col min="2" max="2" width="7.6640625" style="1" customWidth="1"/>
    <col min="3" max="3" width="11.33203125" style="1" customWidth="1"/>
    <col min="4" max="4" width="51" style="1" customWidth="1"/>
    <col min="5" max="5" width="5.88671875" style="1" hidden="1" customWidth="1"/>
    <col min="6" max="7" width="6" style="1" bestFit="1" customWidth="1"/>
    <col min="8" max="8" width="7" style="1" customWidth="1"/>
    <col min="9" max="11" width="6" style="1" bestFit="1" customWidth="1"/>
    <col min="12" max="12" width="5.33203125" style="1" bestFit="1" customWidth="1"/>
    <col min="13" max="18" width="6" style="1" bestFit="1" customWidth="1"/>
    <col min="19" max="20" width="5.44140625" style="1" customWidth="1"/>
    <col min="21" max="21" width="3.33203125" style="1" customWidth="1"/>
    <col min="22" max="22" width="8.109375" style="1" customWidth="1"/>
    <col min="23" max="16384" width="10.88671875" style="1"/>
  </cols>
  <sheetData>
    <row r="1" spans="3:22" x14ac:dyDescent="0.3">
      <c r="H1" s="1" t="s">
        <v>40</v>
      </c>
    </row>
    <row r="4" spans="3:22" ht="14.4" x14ac:dyDescent="0.3">
      <c r="C4" s="2" t="s">
        <v>0</v>
      </c>
    </row>
    <row r="5" spans="3:22" x14ac:dyDescent="0.3">
      <c r="F5" s="25">
        <v>1</v>
      </c>
      <c r="G5" s="25">
        <v>2</v>
      </c>
      <c r="H5" s="25">
        <v>3</v>
      </c>
      <c r="I5" s="25">
        <v>4</v>
      </c>
      <c r="J5" s="25">
        <v>5</v>
      </c>
      <c r="K5" s="25">
        <v>6</v>
      </c>
      <c r="L5" s="25">
        <v>7</v>
      </c>
      <c r="M5" s="25">
        <v>8</v>
      </c>
      <c r="N5" s="25">
        <v>9</v>
      </c>
      <c r="O5" s="25">
        <v>10</v>
      </c>
      <c r="P5" s="25">
        <v>11</v>
      </c>
      <c r="Q5" s="25">
        <v>12</v>
      </c>
      <c r="R5" s="25">
        <v>13</v>
      </c>
      <c r="S5" s="25">
        <v>14</v>
      </c>
      <c r="T5" s="25">
        <v>15</v>
      </c>
    </row>
    <row r="6" spans="3:22" ht="14.4" customHeight="1" x14ac:dyDescent="0.3">
      <c r="C6" s="95" t="s">
        <v>1</v>
      </c>
      <c r="D6" s="95" t="s">
        <v>2</v>
      </c>
      <c r="E6" s="96" t="s">
        <v>3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8"/>
      <c r="U6" s="3"/>
      <c r="V6" s="91" t="s">
        <v>16</v>
      </c>
    </row>
    <row r="7" spans="3:22" x14ac:dyDescent="0.3">
      <c r="C7" s="95"/>
      <c r="D7" s="95"/>
      <c r="E7" s="31">
        <v>2022</v>
      </c>
      <c r="F7" s="31">
        <v>2023</v>
      </c>
      <c r="G7" s="31">
        <v>2024</v>
      </c>
      <c r="H7" s="31">
        <v>2025</v>
      </c>
      <c r="I7" s="31">
        <v>2026</v>
      </c>
      <c r="J7" s="31">
        <v>2027</v>
      </c>
      <c r="K7" s="31">
        <v>2028</v>
      </c>
      <c r="L7" s="31">
        <v>2029</v>
      </c>
      <c r="M7" s="31">
        <v>2030</v>
      </c>
      <c r="N7" s="31">
        <v>2031</v>
      </c>
      <c r="O7" s="31">
        <v>2032</v>
      </c>
      <c r="P7" s="31">
        <v>2033</v>
      </c>
      <c r="Q7" s="31">
        <v>2034</v>
      </c>
      <c r="R7" s="31">
        <v>2035</v>
      </c>
      <c r="S7" s="31">
        <v>2036</v>
      </c>
      <c r="T7" s="31">
        <v>2037</v>
      </c>
      <c r="U7" s="3"/>
      <c r="V7" s="91"/>
    </row>
    <row r="8" spans="3:22" x14ac:dyDescent="0.3">
      <c r="C8" s="92" t="s">
        <v>4</v>
      </c>
      <c r="D8" s="5" t="s">
        <v>5</v>
      </c>
      <c r="E8" s="6"/>
      <c r="F8" s="6"/>
      <c r="G8" s="6"/>
      <c r="H8" s="6"/>
      <c r="I8" s="6"/>
      <c r="J8" s="6"/>
      <c r="K8" s="6"/>
      <c r="L8" s="6"/>
      <c r="M8" s="6">
        <v>7286.5238830526414</v>
      </c>
      <c r="N8" s="6"/>
      <c r="O8" s="6"/>
      <c r="P8" s="6"/>
      <c r="Q8" s="6"/>
      <c r="R8" s="6"/>
      <c r="S8" s="6"/>
      <c r="T8" s="6"/>
      <c r="U8" s="3"/>
      <c r="V8" s="6">
        <f t="shared" ref="V8:V15" si="0">+SUM(F8:T8)</f>
        <v>7286.5238830526414</v>
      </c>
    </row>
    <row r="9" spans="3:22" x14ac:dyDescent="0.3">
      <c r="C9" s="93"/>
      <c r="D9" s="7" t="s">
        <v>11</v>
      </c>
      <c r="E9" s="8"/>
      <c r="F9" s="8"/>
      <c r="G9" s="8"/>
      <c r="H9" s="8"/>
      <c r="I9" s="8"/>
      <c r="J9" s="8"/>
      <c r="K9" s="8"/>
      <c r="L9" s="8"/>
      <c r="M9" s="8"/>
      <c r="N9" s="8">
        <v>15346.293113729069</v>
      </c>
      <c r="O9" s="8"/>
      <c r="P9" s="8"/>
      <c r="Q9" s="8"/>
      <c r="R9" s="8"/>
      <c r="S9" s="8"/>
      <c r="T9" s="8"/>
      <c r="U9" s="3"/>
      <c r="V9" s="8">
        <f t="shared" si="0"/>
        <v>15346.293113729069</v>
      </c>
    </row>
    <row r="10" spans="3:22" x14ac:dyDescent="0.3">
      <c r="C10" s="93"/>
      <c r="D10" s="7" t="s">
        <v>12</v>
      </c>
      <c r="E10" s="8"/>
      <c r="F10" s="8"/>
      <c r="G10" s="8"/>
      <c r="H10" s="8"/>
      <c r="I10" s="8"/>
      <c r="J10" s="8"/>
      <c r="K10" s="8"/>
      <c r="L10" s="8"/>
      <c r="M10" s="8"/>
      <c r="N10" s="8">
        <v>615.42715006181834</v>
      </c>
      <c r="O10" s="8"/>
      <c r="P10" s="8"/>
      <c r="Q10" s="8"/>
      <c r="R10" s="8"/>
      <c r="S10" s="8"/>
      <c r="T10" s="8"/>
      <c r="U10" s="3"/>
      <c r="V10" s="8">
        <f t="shared" si="0"/>
        <v>615.42715006181834</v>
      </c>
    </row>
    <row r="11" spans="3:22" x14ac:dyDescent="0.3">
      <c r="C11" s="93"/>
      <c r="D11" s="7" t="s">
        <v>13</v>
      </c>
      <c r="E11" s="8"/>
      <c r="F11" s="8"/>
      <c r="G11" s="8"/>
      <c r="H11" s="8"/>
      <c r="I11" s="8"/>
      <c r="J11" s="8"/>
      <c r="K11" s="8"/>
      <c r="L11" s="8"/>
      <c r="M11" s="8"/>
      <c r="N11" s="8">
        <v>397.37907483984725</v>
      </c>
      <c r="O11" s="8"/>
      <c r="P11" s="8"/>
      <c r="Q11" s="8"/>
      <c r="R11" s="8"/>
      <c r="S11" s="8"/>
      <c r="T11" s="8"/>
      <c r="U11" s="3"/>
      <c r="V11" s="8">
        <f t="shared" si="0"/>
        <v>397.37907483984725</v>
      </c>
    </row>
    <row r="12" spans="3:22" x14ac:dyDescent="0.3">
      <c r="C12" s="93"/>
      <c r="D12" s="7" t="s">
        <v>48</v>
      </c>
      <c r="E12" s="8"/>
      <c r="F12" s="8"/>
      <c r="G12" s="8">
        <v>511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3"/>
      <c r="V12" s="8">
        <f t="shared" si="0"/>
        <v>511</v>
      </c>
    </row>
    <row r="13" spans="3:22" x14ac:dyDescent="0.3">
      <c r="C13" s="93"/>
      <c r="D13" s="7" t="s">
        <v>49</v>
      </c>
      <c r="E13" s="8"/>
      <c r="F13" s="8"/>
      <c r="G13" s="8">
        <v>222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3"/>
      <c r="V13" s="8">
        <f t="shared" si="0"/>
        <v>222</v>
      </c>
    </row>
    <row r="14" spans="3:22" x14ac:dyDescent="0.3">
      <c r="C14" s="93"/>
      <c r="D14" s="7" t="s">
        <v>66</v>
      </c>
      <c r="E14" s="8"/>
      <c r="F14" s="8"/>
      <c r="G14" s="8">
        <v>222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3"/>
      <c r="V14" s="8">
        <f t="shared" si="0"/>
        <v>222</v>
      </c>
    </row>
    <row r="15" spans="3:22" x14ac:dyDescent="0.3">
      <c r="C15" s="93"/>
      <c r="D15" s="7" t="s">
        <v>50</v>
      </c>
      <c r="E15" s="8"/>
      <c r="F15" s="8"/>
      <c r="G15" s="8">
        <v>222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"/>
      <c r="V15" s="8">
        <f t="shared" si="0"/>
        <v>222</v>
      </c>
    </row>
    <row r="16" spans="3:22" x14ac:dyDescent="0.3">
      <c r="C16" s="94"/>
      <c r="D16" s="14" t="s">
        <v>17</v>
      </c>
      <c r="E16" s="15">
        <v>0</v>
      </c>
      <c r="F16" s="15">
        <f>+SUM(F8:F15)</f>
        <v>0</v>
      </c>
      <c r="G16" s="15">
        <f t="shared" ref="G16:T16" si="1">+SUM(G8:G15)</f>
        <v>1177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7286.5238830526414</v>
      </c>
      <c r="N16" s="15">
        <f t="shared" si="1"/>
        <v>16359.099338630735</v>
      </c>
      <c r="O16" s="15">
        <f t="shared" si="1"/>
        <v>0</v>
      </c>
      <c r="P16" s="15">
        <f t="shared" si="1"/>
        <v>0</v>
      </c>
      <c r="Q16" s="15">
        <f t="shared" si="1"/>
        <v>0</v>
      </c>
      <c r="R16" s="15">
        <f t="shared" si="1"/>
        <v>0</v>
      </c>
      <c r="S16" s="15">
        <f t="shared" si="1"/>
        <v>0</v>
      </c>
      <c r="T16" s="15">
        <f t="shared" si="1"/>
        <v>0</v>
      </c>
      <c r="U16" s="3"/>
      <c r="V16" s="15">
        <f>+SUM(V8:V15)</f>
        <v>24822.623221683374</v>
      </c>
    </row>
    <row r="17" spans="2:22" x14ac:dyDescent="0.3">
      <c r="C17" s="92" t="s">
        <v>6</v>
      </c>
      <c r="D17" s="7" t="s">
        <v>61</v>
      </c>
      <c r="E17" s="8"/>
      <c r="F17" s="20">
        <v>5000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3"/>
      <c r="V17" s="8">
        <f>+SUM(F17:T17)</f>
        <v>5000</v>
      </c>
    </row>
    <row r="18" spans="2:22" x14ac:dyDescent="0.3">
      <c r="C18" s="93"/>
      <c r="D18" s="7" t="s">
        <v>33</v>
      </c>
      <c r="E18" s="8"/>
      <c r="F18" s="8"/>
      <c r="G18" s="8">
        <v>600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"/>
      <c r="V18" s="8">
        <f t="shared" ref="V18:V30" si="2">+SUM(F18:T18)</f>
        <v>600</v>
      </c>
    </row>
    <row r="19" spans="2:22" x14ac:dyDescent="0.3">
      <c r="B19" s="1">
        <v>1000</v>
      </c>
      <c r="C19" s="93"/>
      <c r="D19" s="7" t="s">
        <v>79</v>
      </c>
      <c r="E19" s="8"/>
      <c r="F19" s="8"/>
      <c r="G19" s="8"/>
      <c r="H19" s="8"/>
      <c r="I19" s="8"/>
      <c r="J19" s="8"/>
      <c r="K19" s="8">
        <f>4.59*1000</f>
        <v>4590</v>
      </c>
      <c r="L19" s="8"/>
      <c r="M19" s="8"/>
      <c r="N19" s="8"/>
      <c r="O19" s="8"/>
      <c r="P19" s="8"/>
      <c r="Q19" s="8"/>
      <c r="R19" s="8"/>
      <c r="S19" s="8"/>
      <c r="T19" s="8"/>
      <c r="U19" s="3"/>
      <c r="V19" s="8">
        <f t="shared" si="2"/>
        <v>4590</v>
      </c>
    </row>
    <row r="20" spans="2:22" x14ac:dyDescent="0.3">
      <c r="B20" s="1">
        <v>710</v>
      </c>
      <c r="C20" s="93"/>
      <c r="D20" s="7" t="s">
        <v>80</v>
      </c>
      <c r="E20" s="8"/>
      <c r="F20" s="8"/>
      <c r="G20" s="8"/>
      <c r="H20" s="8"/>
      <c r="I20" s="8"/>
      <c r="J20" s="8"/>
      <c r="K20" s="8"/>
      <c r="L20" s="8">
        <f>4.59*710</f>
        <v>3258.9</v>
      </c>
      <c r="M20" s="8"/>
      <c r="N20" s="8"/>
      <c r="O20" s="8"/>
      <c r="P20" s="8"/>
      <c r="Q20" s="8"/>
      <c r="R20" s="8"/>
      <c r="S20" s="8"/>
      <c r="T20" s="8"/>
      <c r="U20" s="3"/>
      <c r="V20" s="8">
        <f t="shared" si="2"/>
        <v>3258.9</v>
      </c>
    </row>
    <row r="21" spans="2:22" x14ac:dyDescent="0.3">
      <c r="B21" s="1">
        <v>240</v>
      </c>
      <c r="C21" s="93"/>
      <c r="D21" s="7" t="s">
        <v>81</v>
      </c>
      <c r="E21" s="8"/>
      <c r="F21" s="8"/>
      <c r="G21" s="8"/>
      <c r="H21" s="8"/>
      <c r="I21" s="8"/>
      <c r="J21" s="8"/>
      <c r="K21" s="8"/>
      <c r="L21" s="8">
        <f>240*4.59</f>
        <v>1101.5999999999999</v>
      </c>
      <c r="M21" s="8"/>
      <c r="N21" s="8"/>
      <c r="O21" s="8"/>
      <c r="P21" s="8"/>
      <c r="Q21" s="8"/>
      <c r="R21" s="8"/>
      <c r="S21" s="8"/>
      <c r="T21" s="8"/>
      <c r="U21" s="3"/>
      <c r="V21" s="8">
        <f t="shared" si="2"/>
        <v>1101.5999999999999</v>
      </c>
    </row>
    <row r="22" spans="2:22" x14ac:dyDescent="0.3">
      <c r="B22" s="1">
        <v>330</v>
      </c>
      <c r="C22" s="93"/>
      <c r="D22" s="7" t="s">
        <v>82</v>
      </c>
      <c r="E22" s="8"/>
      <c r="F22" s="8"/>
      <c r="G22" s="8"/>
      <c r="H22" s="8"/>
      <c r="I22" s="8"/>
      <c r="J22" s="8"/>
      <c r="K22" s="8"/>
      <c r="L22" s="8">
        <f>330*4.59</f>
        <v>1514.7</v>
      </c>
      <c r="M22" s="8"/>
      <c r="N22" s="8"/>
      <c r="O22" s="8"/>
      <c r="P22" s="8"/>
      <c r="Q22" s="8"/>
      <c r="R22" s="8"/>
      <c r="S22" s="8"/>
      <c r="T22" s="8"/>
      <c r="U22" s="3"/>
      <c r="V22" s="8">
        <f t="shared" si="2"/>
        <v>1514.7</v>
      </c>
    </row>
    <row r="23" spans="2:22" x14ac:dyDescent="0.3">
      <c r="B23" s="1">
        <v>370</v>
      </c>
      <c r="C23" s="93"/>
      <c r="D23" s="7" t="s">
        <v>83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>
        <f>5.3*370</f>
        <v>1961</v>
      </c>
      <c r="Q23" s="8"/>
      <c r="R23" s="8"/>
      <c r="S23" s="8"/>
      <c r="T23" s="8"/>
      <c r="U23" s="3"/>
      <c r="V23" s="8">
        <f t="shared" si="2"/>
        <v>1961</v>
      </c>
    </row>
    <row r="24" spans="2:22" x14ac:dyDescent="0.3">
      <c r="B24" s="1">
        <v>800</v>
      </c>
      <c r="C24" s="93"/>
      <c r="D24" s="7" t="s">
        <v>84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>
        <f>5.3*800</f>
        <v>4240</v>
      </c>
      <c r="S24" s="8"/>
      <c r="T24" s="8"/>
      <c r="U24" s="3"/>
      <c r="V24" s="8">
        <f t="shared" si="2"/>
        <v>4240</v>
      </c>
    </row>
    <row r="25" spans="2:22" x14ac:dyDescent="0.3">
      <c r="B25" s="1">
        <v>520</v>
      </c>
      <c r="C25" s="93"/>
      <c r="D25" s="7" t="s">
        <v>85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>
        <f>520*4.59</f>
        <v>2386.7999999999997</v>
      </c>
      <c r="T25" s="8"/>
      <c r="U25" s="3"/>
      <c r="V25" s="8">
        <f t="shared" si="2"/>
        <v>2386.7999999999997</v>
      </c>
    </row>
    <row r="26" spans="2:22" x14ac:dyDescent="0.3">
      <c r="B26" s="1">
        <v>111</v>
      </c>
      <c r="C26" s="93"/>
      <c r="D26" s="7" t="s">
        <v>86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>
        <f>3.22*111</f>
        <v>357.42</v>
      </c>
      <c r="T26" s="8"/>
      <c r="U26" s="3"/>
      <c r="V26" s="8">
        <f t="shared" si="2"/>
        <v>357.42</v>
      </c>
    </row>
    <row r="27" spans="2:22" x14ac:dyDescent="0.3">
      <c r="B27" s="1">
        <v>124</v>
      </c>
      <c r="C27" s="93"/>
      <c r="D27" s="7" t="s">
        <v>87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>
        <f>3.22*124</f>
        <v>399.28000000000003</v>
      </c>
      <c r="T27" s="8"/>
      <c r="U27" s="3"/>
      <c r="V27" s="8">
        <f t="shared" si="2"/>
        <v>399.28000000000003</v>
      </c>
    </row>
    <row r="28" spans="2:22" x14ac:dyDescent="0.3">
      <c r="B28" s="1">
        <v>137</v>
      </c>
      <c r="C28" s="93"/>
      <c r="D28" s="7" t="s">
        <v>88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f>137*3.22</f>
        <v>441.14000000000004</v>
      </c>
      <c r="T28" s="8"/>
      <c r="U28" s="3"/>
      <c r="V28" s="8">
        <f t="shared" si="2"/>
        <v>441.14000000000004</v>
      </c>
    </row>
    <row r="29" spans="2:22" x14ac:dyDescent="0.3">
      <c r="C29" s="93"/>
      <c r="D29" s="7" t="s">
        <v>74</v>
      </c>
      <c r="E29" s="8"/>
      <c r="F29" s="8"/>
      <c r="G29" s="8"/>
      <c r="H29" s="8"/>
      <c r="I29" s="8"/>
      <c r="J29" s="8"/>
      <c r="K29" s="8">
        <v>326</v>
      </c>
      <c r="L29" s="8"/>
      <c r="M29" s="8"/>
      <c r="N29" s="8"/>
      <c r="O29" s="8"/>
      <c r="P29" s="8"/>
      <c r="Q29" s="8"/>
      <c r="R29" s="8"/>
      <c r="S29" s="8"/>
      <c r="T29" s="8"/>
      <c r="U29" s="3"/>
      <c r="V29" s="8">
        <f t="shared" si="2"/>
        <v>326</v>
      </c>
    </row>
    <row r="30" spans="2:22" x14ac:dyDescent="0.3">
      <c r="C30" s="93"/>
      <c r="D30" s="19" t="s">
        <v>63</v>
      </c>
      <c r="E30" s="18"/>
      <c r="F30" s="20"/>
      <c r="G30" s="20">
        <v>5600</v>
      </c>
      <c r="H30" s="20">
        <v>5600</v>
      </c>
      <c r="I30" s="20">
        <v>5600</v>
      </c>
      <c r="J30" s="20">
        <v>5600</v>
      </c>
      <c r="K30" s="20">
        <v>5600</v>
      </c>
      <c r="L30" s="20">
        <v>5600</v>
      </c>
      <c r="M30" s="20">
        <v>5600</v>
      </c>
      <c r="N30" s="20">
        <v>5600</v>
      </c>
      <c r="O30" s="20">
        <v>5600</v>
      </c>
      <c r="P30" s="20">
        <v>5600</v>
      </c>
      <c r="Q30" s="20">
        <v>5600</v>
      </c>
      <c r="R30" s="20">
        <v>5600</v>
      </c>
      <c r="S30" s="20">
        <v>5600</v>
      </c>
      <c r="T30" s="20">
        <v>5600</v>
      </c>
      <c r="U30" s="3"/>
      <c r="V30" s="8">
        <f t="shared" si="2"/>
        <v>78400</v>
      </c>
    </row>
    <row r="31" spans="2:22" x14ac:dyDescent="0.3">
      <c r="C31" s="94"/>
      <c r="D31" s="14" t="s">
        <v>18</v>
      </c>
      <c r="E31" s="15">
        <v>0</v>
      </c>
      <c r="F31" s="15">
        <f>+SUM(F17:F30)</f>
        <v>5000</v>
      </c>
      <c r="G31" s="15">
        <f t="shared" ref="G31:T31" si="3">+SUM(G17:G30)</f>
        <v>6200</v>
      </c>
      <c r="H31" s="15">
        <f t="shared" si="3"/>
        <v>5600</v>
      </c>
      <c r="I31" s="15">
        <f t="shared" si="3"/>
        <v>5600</v>
      </c>
      <c r="J31" s="15">
        <f t="shared" si="3"/>
        <v>5600</v>
      </c>
      <c r="K31" s="15">
        <f t="shared" si="3"/>
        <v>10516</v>
      </c>
      <c r="L31" s="15">
        <f t="shared" si="3"/>
        <v>11475.2</v>
      </c>
      <c r="M31" s="15">
        <f t="shared" si="3"/>
        <v>5600</v>
      </c>
      <c r="N31" s="15">
        <f t="shared" si="3"/>
        <v>5600</v>
      </c>
      <c r="O31" s="15">
        <f t="shared" si="3"/>
        <v>5600</v>
      </c>
      <c r="P31" s="15">
        <f t="shared" si="3"/>
        <v>7561</v>
      </c>
      <c r="Q31" s="15">
        <f t="shared" si="3"/>
        <v>5600</v>
      </c>
      <c r="R31" s="15">
        <f t="shared" si="3"/>
        <v>9840</v>
      </c>
      <c r="S31" s="15">
        <f t="shared" si="3"/>
        <v>9184.64</v>
      </c>
      <c r="T31" s="15">
        <f t="shared" si="3"/>
        <v>5600</v>
      </c>
      <c r="U31" s="3"/>
      <c r="V31" s="15">
        <f>+SUM(F31:T31)</f>
        <v>104576.84</v>
      </c>
    </row>
    <row r="32" spans="2:22" x14ac:dyDescent="0.3">
      <c r="C32" s="92" t="s">
        <v>7</v>
      </c>
      <c r="D32" s="7" t="s">
        <v>78</v>
      </c>
      <c r="E32" s="8"/>
      <c r="F32" s="8"/>
      <c r="G32" s="8">
        <v>3500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3"/>
      <c r="V32" s="8">
        <f>+SUM(F32:T32)</f>
        <v>3500</v>
      </c>
    </row>
    <row r="33" spans="3:22" x14ac:dyDescent="0.3">
      <c r="C33" s="93"/>
      <c r="D33" s="7" t="s">
        <v>30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3"/>
      <c r="V33" s="8">
        <f t="shared" ref="V33:V54" si="4">+SUM(F33:T33)</f>
        <v>0</v>
      </c>
    </row>
    <row r="34" spans="3:22" x14ac:dyDescent="0.3">
      <c r="C34" s="93"/>
      <c r="D34" s="7" t="s">
        <v>31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>
        <v>758.25095326069072</v>
      </c>
      <c r="P34" s="8"/>
      <c r="Q34" s="8"/>
      <c r="R34" s="8"/>
      <c r="S34" s="8"/>
      <c r="T34" s="8"/>
      <c r="U34" s="3"/>
      <c r="V34" s="8">
        <f t="shared" si="4"/>
        <v>758.25095326069072</v>
      </c>
    </row>
    <row r="35" spans="3:22" x14ac:dyDescent="0.3">
      <c r="C35" s="93"/>
      <c r="D35" s="7" t="s">
        <v>32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>
        <v>905.14024400002631</v>
      </c>
      <c r="Q35" s="8"/>
      <c r="R35" s="8"/>
      <c r="S35" s="8"/>
      <c r="T35" s="8"/>
      <c r="U35" s="3"/>
      <c r="V35" s="8">
        <f t="shared" si="4"/>
        <v>905.14024400002631</v>
      </c>
    </row>
    <row r="36" spans="3:22" x14ac:dyDescent="0.3">
      <c r="C36" s="93"/>
      <c r="D36" s="7" t="s">
        <v>41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>
        <v>1370.1</v>
      </c>
      <c r="R36" s="8"/>
      <c r="S36" s="8"/>
      <c r="T36" s="8"/>
      <c r="U36" s="3"/>
      <c r="V36" s="8">
        <f t="shared" si="4"/>
        <v>1370.1</v>
      </c>
    </row>
    <row r="37" spans="3:22" x14ac:dyDescent="0.3">
      <c r="C37" s="93"/>
      <c r="D37" s="7" t="s">
        <v>42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>
        <v>1250</v>
      </c>
      <c r="R37" s="8"/>
      <c r="S37" s="8"/>
      <c r="T37" s="8"/>
      <c r="U37" s="3"/>
      <c r="V37" s="8">
        <f t="shared" si="4"/>
        <v>1250</v>
      </c>
    </row>
    <row r="38" spans="3:22" x14ac:dyDescent="0.3">
      <c r="C38" s="93"/>
      <c r="D38" s="7" t="s">
        <v>43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>
        <v>900</v>
      </c>
      <c r="R38" s="8"/>
      <c r="S38" s="8"/>
      <c r="T38" s="8"/>
      <c r="U38" s="3"/>
      <c r="V38" s="8">
        <f t="shared" si="4"/>
        <v>900</v>
      </c>
    </row>
    <row r="39" spans="3:22" x14ac:dyDescent="0.3">
      <c r="C39" s="93"/>
      <c r="D39" s="7" t="s">
        <v>28</v>
      </c>
      <c r="E39" s="8" t="s">
        <v>22</v>
      </c>
      <c r="F39" s="8"/>
      <c r="G39" s="8"/>
      <c r="H39" s="8"/>
      <c r="I39" s="8"/>
      <c r="J39" s="8"/>
      <c r="K39" s="8"/>
      <c r="L39" s="8"/>
      <c r="M39" s="8"/>
      <c r="N39" s="8">
        <v>777.55382891905617</v>
      </c>
      <c r="O39" s="8"/>
      <c r="P39" s="8"/>
      <c r="Q39" s="8"/>
      <c r="R39" s="8"/>
      <c r="S39" s="8"/>
      <c r="T39" s="8"/>
      <c r="U39" s="3"/>
      <c r="V39" s="8">
        <f t="shared" si="4"/>
        <v>777.55382891905617</v>
      </c>
    </row>
    <row r="40" spans="3:22" x14ac:dyDescent="0.3">
      <c r="C40" s="93"/>
      <c r="D40" s="7" t="s">
        <v>29</v>
      </c>
      <c r="E40" s="8" t="s">
        <v>22</v>
      </c>
      <c r="F40" s="8"/>
      <c r="G40" s="8"/>
      <c r="H40" s="8"/>
      <c r="I40" s="8"/>
      <c r="J40" s="8"/>
      <c r="K40" s="8"/>
      <c r="L40" s="8"/>
      <c r="M40" s="8"/>
      <c r="N40" s="8">
        <v>1937.4717074651894</v>
      </c>
      <c r="O40" s="8"/>
      <c r="P40" s="8"/>
      <c r="Q40" s="8"/>
      <c r="R40" s="8"/>
      <c r="S40" s="8"/>
      <c r="T40" s="8"/>
      <c r="U40" s="3"/>
      <c r="V40" s="8">
        <f t="shared" si="4"/>
        <v>1937.4717074651894</v>
      </c>
    </row>
    <row r="41" spans="3:22" x14ac:dyDescent="0.3">
      <c r="C41" s="93"/>
      <c r="D41" s="7" t="s">
        <v>14</v>
      </c>
      <c r="E41" s="8"/>
      <c r="F41" s="8"/>
      <c r="G41" s="8"/>
      <c r="H41" s="8"/>
      <c r="I41" s="8"/>
      <c r="J41" s="8"/>
      <c r="K41" s="8"/>
      <c r="L41" s="8"/>
      <c r="M41" s="8"/>
      <c r="N41" s="8">
        <v>1179.47778879509</v>
      </c>
      <c r="O41" s="8"/>
      <c r="P41" s="8"/>
      <c r="Q41" s="8"/>
      <c r="R41" s="8"/>
      <c r="S41" s="8"/>
      <c r="T41" s="8"/>
      <c r="U41" s="3"/>
      <c r="V41" s="8">
        <f t="shared" si="4"/>
        <v>1179.47778879509</v>
      </c>
    </row>
    <row r="42" spans="3:22" x14ac:dyDescent="0.3">
      <c r="C42" s="93"/>
      <c r="D42" s="7" t="s">
        <v>27</v>
      </c>
      <c r="E42" s="8" t="s">
        <v>22</v>
      </c>
      <c r="F42" s="8"/>
      <c r="G42" s="8"/>
      <c r="H42" s="8"/>
      <c r="I42" s="8"/>
      <c r="J42" s="8"/>
      <c r="K42" s="8">
        <v>1284.7947392070291</v>
      </c>
      <c r="L42" s="8"/>
      <c r="M42" s="8"/>
      <c r="N42" s="8"/>
      <c r="O42" s="8"/>
      <c r="P42" s="8"/>
      <c r="Q42" s="8"/>
      <c r="R42" s="8"/>
      <c r="S42" s="8"/>
      <c r="T42" s="8"/>
      <c r="U42" s="3"/>
      <c r="V42" s="8">
        <f t="shared" si="4"/>
        <v>1284.7947392070291</v>
      </c>
    </row>
    <row r="43" spans="3:22" x14ac:dyDescent="0.3">
      <c r="C43" s="93"/>
      <c r="D43" s="7" t="s">
        <v>23</v>
      </c>
      <c r="E43" s="8" t="s">
        <v>21</v>
      </c>
      <c r="F43" s="8"/>
      <c r="G43" s="8"/>
      <c r="H43" s="8"/>
      <c r="I43" s="8"/>
      <c r="J43" s="8"/>
      <c r="K43" s="8"/>
      <c r="L43" s="8"/>
      <c r="M43" s="8"/>
      <c r="N43" s="8">
        <v>1590.7278236895932</v>
      </c>
      <c r="O43" s="8"/>
      <c r="P43" s="8"/>
      <c r="Q43" s="8"/>
      <c r="R43" s="8"/>
      <c r="S43" s="8"/>
      <c r="T43" s="8"/>
      <c r="U43" s="3"/>
      <c r="V43" s="8">
        <f t="shared" si="4"/>
        <v>1590.7278236895932</v>
      </c>
    </row>
    <row r="44" spans="3:22" x14ac:dyDescent="0.3">
      <c r="C44" s="93"/>
      <c r="D44" s="7" t="s">
        <v>26</v>
      </c>
      <c r="E44" s="8" t="s">
        <v>22</v>
      </c>
      <c r="F44" s="8"/>
      <c r="G44" s="8"/>
      <c r="H44" s="8"/>
      <c r="I44" s="8">
        <v>341.29347680492879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3"/>
      <c r="V44" s="8">
        <f t="shared" si="4"/>
        <v>341.29347680492879</v>
      </c>
    </row>
    <row r="45" spans="3:22" x14ac:dyDescent="0.3">
      <c r="C45" s="93"/>
      <c r="D45" s="7" t="s">
        <v>57</v>
      </c>
      <c r="E45" s="8"/>
      <c r="F45" s="8"/>
      <c r="G45" s="8"/>
      <c r="H45" s="8">
        <v>100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3"/>
      <c r="V45" s="8">
        <f t="shared" si="4"/>
        <v>100</v>
      </c>
    </row>
    <row r="46" spans="3:22" x14ac:dyDescent="0.3">
      <c r="C46" s="93"/>
      <c r="D46" s="7" t="s">
        <v>77</v>
      </c>
      <c r="E46" s="8"/>
      <c r="F46" s="8"/>
      <c r="G46" s="8"/>
      <c r="H46" s="8"/>
      <c r="I46" s="8"/>
      <c r="J46" s="8">
        <f>6.16*712</f>
        <v>4385.92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3"/>
      <c r="V46" s="8">
        <f t="shared" si="4"/>
        <v>4385.92</v>
      </c>
    </row>
    <row r="47" spans="3:22" x14ac:dyDescent="0.3">
      <c r="C47" s="93"/>
      <c r="D47" s="12" t="s">
        <v>67</v>
      </c>
      <c r="E47" s="13"/>
      <c r="F47" s="13"/>
      <c r="G47" s="13"/>
      <c r="H47" s="13">
        <v>1087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V47" s="13">
        <f t="shared" si="4"/>
        <v>1087</v>
      </c>
    </row>
    <row r="48" spans="3:22" x14ac:dyDescent="0.3">
      <c r="C48" s="93"/>
      <c r="D48" s="7" t="s">
        <v>68</v>
      </c>
      <c r="E48" s="8"/>
      <c r="F48" s="8"/>
      <c r="G48" s="8"/>
      <c r="H48" s="8">
        <v>200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3"/>
      <c r="V48" s="8">
        <f t="shared" si="4"/>
        <v>200</v>
      </c>
    </row>
    <row r="49" spans="3:23" x14ac:dyDescent="0.3">
      <c r="C49" s="93"/>
      <c r="D49" s="7" t="s">
        <v>69</v>
      </c>
      <c r="E49" s="8"/>
      <c r="F49" s="8"/>
      <c r="G49" s="8"/>
      <c r="H49" s="8"/>
      <c r="I49" s="8">
        <v>408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3"/>
      <c r="V49" s="8">
        <f t="shared" si="4"/>
        <v>408</v>
      </c>
    </row>
    <row r="50" spans="3:23" x14ac:dyDescent="0.3">
      <c r="C50" s="93"/>
      <c r="D50" s="7" t="s">
        <v>70</v>
      </c>
      <c r="E50" s="8"/>
      <c r="F50" s="8"/>
      <c r="G50" s="8"/>
      <c r="H50" s="8"/>
      <c r="I50" s="8">
        <v>226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3"/>
      <c r="V50" s="8">
        <f t="shared" si="4"/>
        <v>226</v>
      </c>
    </row>
    <row r="51" spans="3:23" ht="13.95" customHeight="1" x14ac:dyDescent="0.3">
      <c r="C51" s="93"/>
      <c r="D51" s="7" t="s">
        <v>71</v>
      </c>
      <c r="E51" s="8"/>
      <c r="F51" s="8"/>
      <c r="G51" s="8"/>
      <c r="H51" s="8"/>
      <c r="I51" s="8"/>
      <c r="J51" s="8">
        <v>489</v>
      </c>
      <c r="K51" s="8"/>
      <c r="L51" s="8"/>
      <c r="M51" s="8"/>
      <c r="N51" s="8"/>
      <c r="O51" s="8"/>
      <c r="P51" s="8"/>
      <c r="Q51" s="8"/>
      <c r="R51" s="8"/>
      <c r="S51" s="8"/>
      <c r="T51" s="8"/>
      <c r="U51" s="3"/>
      <c r="V51" s="8">
        <f t="shared" si="4"/>
        <v>489</v>
      </c>
    </row>
    <row r="52" spans="3:23" x14ac:dyDescent="0.3">
      <c r="C52" s="93"/>
      <c r="D52" s="7" t="s">
        <v>72</v>
      </c>
      <c r="E52" s="8"/>
      <c r="F52" s="8"/>
      <c r="G52" s="8"/>
      <c r="H52" s="8"/>
      <c r="I52" s="8"/>
      <c r="J52" s="8">
        <v>226</v>
      </c>
      <c r="K52" s="8"/>
      <c r="L52" s="8"/>
      <c r="M52" s="8"/>
      <c r="N52" s="8"/>
      <c r="O52" s="8"/>
      <c r="P52" s="8"/>
      <c r="Q52" s="8"/>
      <c r="R52" s="8"/>
      <c r="S52" s="8"/>
      <c r="T52" s="8"/>
      <c r="U52" s="3"/>
      <c r="V52" s="8">
        <f t="shared" si="4"/>
        <v>226</v>
      </c>
    </row>
    <row r="53" spans="3:23" x14ac:dyDescent="0.3">
      <c r="C53" s="93"/>
      <c r="D53" s="7" t="s">
        <v>73</v>
      </c>
      <c r="E53" s="8"/>
      <c r="F53" s="8"/>
      <c r="G53" s="8"/>
      <c r="H53" s="8"/>
      <c r="I53" s="8"/>
      <c r="J53" s="8"/>
      <c r="K53" s="8">
        <v>226</v>
      </c>
      <c r="L53" s="8"/>
      <c r="M53" s="8"/>
      <c r="N53" s="8"/>
      <c r="O53" s="8"/>
      <c r="P53" s="8"/>
      <c r="Q53" s="8"/>
      <c r="R53" s="8"/>
      <c r="S53" s="8"/>
      <c r="T53" s="8"/>
      <c r="U53" s="3"/>
      <c r="V53" s="8">
        <f t="shared" si="4"/>
        <v>226</v>
      </c>
    </row>
    <row r="54" spans="3:23" x14ac:dyDescent="0.3">
      <c r="C54" s="93"/>
      <c r="D54" s="19" t="s">
        <v>25</v>
      </c>
      <c r="E54" s="18"/>
      <c r="F54" s="20"/>
      <c r="G54" s="20"/>
      <c r="H54" s="20">
        <v>3500</v>
      </c>
      <c r="I54" s="20">
        <v>3500</v>
      </c>
      <c r="J54" s="20">
        <v>3500</v>
      </c>
      <c r="K54" s="20">
        <v>3500</v>
      </c>
      <c r="L54" s="20">
        <v>3500</v>
      </c>
      <c r="M54" s="20">
        <v>3500</v>
      </c>
      <c r="N54" s="20">
        <v>3500</v>
      </c>
      <c r="O54" s="20">
        <v>3500</v>
      </c>
      <c r="P54" s="20">
        <v>3500</v>
      </c>
      <c r="Q54" s="20">
        <v>3500</v>
      </c>
      <c r="R54" s="20">
        <v>3500</v>
      </c>
      <c r="S54" s="20">
        <v>3500</v>
      </c>
      <c r="T54" s="20">
        <v>3500</v>
      </c>
      <c r="U54" s="3"/>
      <c r="V54" s="8">
        <f t="shared" si="4"/>
        <v>45500</v>
      </c>
    </row>
    <row r="55" spans="3:23" x14ac:dyDescent="0.3">
      <c r="C55" s="94"/>
      <c r="D55" s="14" t="s">
        <v>19</v>
      </c>
      <c r="E55" s="15">
        <v>0</v>
      </c>
      <c r="F55" s="15">
        <f t="shared" ref="F55:T55" si="5">+SUM(F32:F54)</f>
        <v>0</v>
      </c>
      <c r="G55" s="15">
        <f t="shared" si="5"/>
        <v>3500</v>
      </c>
      <c r="H55" s="15">
        <f t="shared" si="5"/>
        <v>4887</v>
      </c>
      <c r="I55" s="15">
        <f t="shared" si="5"/>
        <v>4475.293476804929</v>
      </c>
      <c r="J55" s="15">
        <f t="shared" si="5"/>
        <v>8600.92</v>
      </c>
      <c r="K55" s="15">
        <f t="shared" si="5"/>
        <v>5010.7947392070291</v>
      </c>
      <c r="L55" s="15">
        <f t="shared" si="5"/>
        <v>3500</v>
      </c>
      <c r="M55" s="15">
        <f t="shared" si="5"/>
        <v>3500</v>
      </c>
      <c r="N55" s="15">
        <f t="shared" si="5"/>
        <v>8985.2311488689284</v>
      </c>
      <c r="O55" s="15">
        <f t="shared" si="5"/>
        <v>4258.2509532606909</v>
      </c>
      <c r="P55" s="15">
        <f t="shared" si="5"/>
        <v>4405.1402440000265</v>
      </c>
      <c r="Q55" s="15">
        <f t="shared" si="5"/>
        <v>7020.1</v>
      </c>
      <c r="R55" s="15">
        <f t="shared" si="5"/>
        <v>3500</v>
      </c>
      <c r="S55" s="15">
        <f t="shared" si="5"/>
        <v>3500</v>
      </c>
      <c r="T55" s="15">
        <f t="shared" si="5"/>
        <v>3500</v>
      </c>
      <c r="U55" s="3"/>
      <c r="V55" s="15">
        <f>+SUM(F55:T55)</f>
        <v>68642.730562141602</v>
      </c>
    </row>
    <row r="56" spans="3:23" x14ac:dyDescent="0.3">
      <c r="C56" s="92" t="s">
        <v>8</v>
      </c>
      <c r="D56" s="7" t="s">
        <v>58</v>
      </c>
      <c r="E56" s="8"/>
      <c r="F56" s="8"/>
      <c r="G56" s="8"/>
      <c r="H56" s="8">
        <f>61195.9668057236/110*160</f>
        <v>89012.315353779777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3"/>
      <c r="V56" s="8">
        <f>+SUM(F56:T56)</f>
        <v>89012.315353779777</v>
      </c>
    </row>
    <row r="57" spans="3:23" x14ac:dyDescent="0.3">
      <c r="C57" s="93"/>
      <c r="D57" s="7" t="s">
        <v>9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>
        <v>350</v>
      </c>
      <c r="R57" s="8"/>
      <c r="S57" s="8"/>
      <c r="T57" s="8"/>
      <c r="U57" s="3"/>
      <c r="V57" s="8">
        <f>+SUM(F57:T57)</f>
        <v>350</v>
      </c>
    </row>
    <row r="58" spans="3:23" x14ac:dyDescent="0.3">
      <c r="C58" s="93"/>
      <c r="D58" s="7" t="s">
        <v>89</v>
      </c>
      <c r="E58" s="8"/>
      <c r="F58" s="8"/>
      <c r="G58" s="8">
        <v>6580</v>
      </c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3"/>
      <c r="V58" s="8">
        <f t="shared" ref="V58" si="6">+SUM(F58:T58)</f>
        <v>6580</v>
      </c>
    </row>
    <row r="59" spans="3:23" x14ac:dyDescent="0.3">
      <c r="C59" s="94"/>
      <c r="D59" s="14" t="s">
        <v>20</v>
      </c>
      <c r="E59" s="15">
        <v>0</v>
      </c>
      <c r="F59" s="15">
        <f t="shared" ref="F59:T59" si="7">+SUM(F56:F58)</f>
        <v>0</v>
      </c>
      <c r="G59" s="15">
        <f t="shared" si="7"/>
        <v>6580</v>
      </c>
      <c r="H59" s="15">
        <f t="shared" si="7"/>
        <v>89012.315353779777</v>
      </c>
      <c r="I59" s="15">
        <f t="shared" si="7"/>
        <v>0</v>
      </c>
      <c r="J59" s="15">
        <f t="shared" si="7"/>
        <v>0</v>
      </c>
      <c r="K59" s="15">
        <f t="shared" si="7"/>
        <v>0</v>
      </c>
      <c r="L59" s="15">
        <f t="shared" si="7"/>
        <v>0</v>
      </c>
      <c r="M59" s="15">
        <f t="shared" si="7"/>
        <v>0</v>
      </c>
      <c r="N59" s="15">
        <f t="shared" si="7"/>
        <v>0</v>
      </c>
      <c r="O59" s="15">
        <f t="shared" si="7"/>
        <v>0</v>
      </c>
      <c r="P59" s="15">
        <f t="shared" si="7"/>
        <v>0</v>
      </c>
      <c r="Q59" s="15">
        <f t="shared" si="7"/>
        <v>350</v>
      </c>
      <c r="R59" s="15">
        <f t="shared" si="7"/>
        <v>0</v>
      </c>
      <c r="S59" s="15">
        <f t="shared" si="7"/>
        <v>0</v>
      </c>
      <c r="T59" s="15">
        <f t="shared" si="7"/>
        <v>0</v>
      </c>
      <c r="U59" s="3"/>
      <c r="V59" s="15">
        <f>+SUM(F59:T59)</f>
        <v>95942.315353779777</v>
      </c>
    </row>
    <row r="60" spans="3:23" x14ac:dyDescent="0.3">
      <c r="C60" s="10"/>
      <c r="D60" s="12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3"/>
      <c r="V60" s="13"/>
    </row>
    <row r="61" spans="3:23" x14ac:dyDescent="0.3">
      <c r="C61" s="9"/>
      <c r="D61" s="9" t="s">
        <v>10</v>
      </c>
      <c r="E61" s="11">
        <v>0</v>
      </c>
      <c r="F61" s="11">
        <f t="shared" ref="F61:T61" si="8">+F59+F55+F31+F16</f>
        <v>5000</v>
      </c>
      <c r="G61" s="11">
        <f t="shared" si="8"/>
        <v>17457</v>
      </c>
      <c r="H61" s="11">
        <f t="shared" si="8"/>
        <v>99499.315353779777</v>
      </c>
      <c r="I61" s="11">
        <f t="shared" si="8"/>
        <v>10075.293476804929</v>
      </c>
      <c r="J61" s="11">
        <f t="shared" si="8"/>
        <v>14200.92</v>
      </c>
      <c r="K61" s="11">
        <f t="shared" si="8"/>
        <v>15526.794739207029</v>
      </c>
      <c r="L61" s="11">
        <f t="shared" si="8"/>
        <v>14975.2</v>
      </c>
      <c r="M61" s="11">
        <f t="shared" si="8"/>
        <v>16386.523883052643</v>
      </c>
      <c r="N61" s="11">
        <f t="shared" si="8"/>
        <v>30944.330487499661</v>
      </c>
      <c r="O61" s="11">
        <f t="shared" si="8"/>
        <v>9858.2509532606909</v>
      </c>
      <c r="P61" s="11">
        <f t="shared" si="8"/>
        <v>11966.140244000027</v>
      </c>
      <c r="Q61" s="11">
        <f t="shared" si="8"/>
        <v>12970.1</v>
      </c>
      <c r="R61" s="11">
        <f t="shared" si="8"/>
        <v>13340</v>
      </c>
      <c r="S61" s="11">
        <f t="shared" si="8"/>
        <v>12684.64</v>
      </c>
      <c r="T61" s="11">
        <f t="shared" si="8"/>
        <v>9100</v>
      </c>
      <c r="U61" s="3"/>
      <c r="V61" s="11">
        <f>+V59+V55+V31+V16</f>
        <v>293984.50913760479</v>
      </c>
      <c r="W61" s="16">
        <v>224677.36539268625</v>
      </c>
    </row>
    <row r="62" spans="3:23" x14ac:dyDescent="0.3">
      <c r="W62" s="16"/>
    </row>
    <row r="63" spans="3:23" x14ac:dyDescent="0.3">
      <c r="C63" s="1" t="s">
        <v>37</v>
      </c>
      <c r="D63" s="21" t="s">
        <v>36</v>
      </c>
    </row>
    <row r="64" spans="3:23" x14ac:dyDescent="0.3">
      <c r="D64" s="21" t="s">
        <v>75</v>
      </c>
      <c r="F64" s="17"/>
    </row>
    <row r="65" spans="4:10" x14ac:dyDescent="0.3">
      <c r="D65" s="21" t="s">
        <v>76</v>
      </c>
    </row>
    <row r="66" spans="4:10" x14ac:dyDescent="0.3">
      <c r="D66" s="21"/>
    </row>
    <row r="71" spans="4:10" x14ac:dyDescent="0.3">
      <c r="F71" s="1">
        <v>50898</v>
      </c>
      <c r="G71" s="1">
        <v>51679</v>
      </c>
      <c r="H71" s="1">
        <v>52459</v>
      </c>
      <c r="I71" s="1">
        <v>53238</v>
      </c>
      <c r="J71" s="1">
        <v>54017</v>
      </c>
    </row>
    <row r="72" spans="4:10" x14ac:dyDescent="0.3">
      <c r="F72" s="32">
        <f>+F61/F71</f>
        <v>9.8235687060395302E-2</v>
      </c>
      <c r="G72" s="32">
        <f>+G61/G71</f>
        <v>0.33779678399349833</v>
      </c>
      <c r="H72" s="32">
        <f>+H61/H71</f>
        <v>1.8967062916521431</v>
      </c>
      <c r="I72" s="32">
        <f>+I61/I71</f>
        <v>0.1892500371314649</v>
      </c>
      <c r="J72" s="32">
        <f>+J61/J71</f>
        <v>0.2628972360553159</v>
      </c>
    </row>
  </sheetData>
  <mergeCells count="8">
    <mergeCell ref="V6:V7"/>
    <mergeCell ref="C8:C16"/>
    <mergeCell ref="C17:C31"/>
    <mergeCell ref="C32:C55"/>
    <mergeCell ref="C56:C59"/>
    <mergeCell ref="C6:C7"/>
    <mergeCell ref="D6:D7"/>
    <mergeCell ref="E6:T6"/>
  </mergeCells>
  <pageMargins left="0.7" right="0.7" top="0.75" bottom="0.75" header="0.3" footer="0.3"/>
  <pageSetup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7E2AE-1BB1-43AE-AC9B-6F0A2B1B613E}">
  <dimension ref="C3:W66"/>
  <sheetViews>
    <sheetView topLeftCell="D30" zoomScaleNormal="100" workbookViewId="0">
      <selection activeCell="J45" sqref="J45"/>
    </sheetView>
  </sheetViews>
  <sheetFormatPr baseColWidth="10" defaultColWidth="10.88671875" defaultRowHeight="13.2" x14ac:dyDescent="0.3"/>
  <cols>
    <col min="1" max="1" width="10.88671875" style="1"/>
    <col min="2" max="2" width="7.6640625" style="1" customWidth="1"/>
    <col min="3" max="3" width="11.33203125" style="1" customWidth="1"/>
    <col min="4" max="4" width="51" style="1" customWidth="1"/>
    <col min="5" max="5" width="5.88671875" style="1" hidden="1" customWidth="1"/>
    <col min="6" max="7" width="6" style="1" bestFit="1" customWidth="1"/>
    <col min="8" max="8" width="7" style="1" customWidth="1"/>
    <col min="9" max="11" width="6" style="1" bestFit="1" customWidth="1"/>
    <col min="12" max="12" width="5.33203125" style="1" bestFit="1" customWidth="1"/>
    <col min="13" max="18" width="6" style="1" bestFit="1" customWidth="1"/>
    <col min="19" max="20" width="5.44140625" style="1" customWidth="1"/>
    <col min="21" max="21" width="3.33203125" style="1" customWidth="1"/>
    <col min="22" max="22" width="8.109375" style="1" customWidth="1"/>
    <col min="23" max="16384" width="10.88671875" style="1"/>
  </cols>
  <sheetData>
    <row r="3" spans="3:22" x14ac:dyDescent="0.3">
      <c r="H3" s="1" t="s">
        <v>40</v>
      </c>
    </row>
    <row r="6" spans="3:22" ht="14.4" x14ac:dyDescent="0.3">
      <c r="C6" s="2" t="s">
        <v>0</v>
      </c>
    </row>
    <row r="7" spans="3:22" x14ac:dyDescent="0.3">
      <c r="F7" s="25">
        <v>1</v>
      </c>
      <c r="G7" s="25">
        <v>2</v>
      </c>
      <c r="H7" s="25">
        <v>3</v>
      </c>
      <c r="I7" s="25">
        <v>4</v>
      </c>
      <c r="J7" s="25">
        <v>5</v>
      </c>
      <c r="K7" s="25">
        <v>6</v>
      </c>
      <c r="L7" s="25">
        <v>7</v>
      </c>
      <c r="M7" s="25">
        <v>8</v>
      </c>
      <c r="N7" s="25">
        <v>9</v>
      </c>
      <c r="O7" s="25">
        <v>10</v>
      </c>
      <c r="P7" s="25">
        <v>11</v>
      </c>
      <c r="Q7" s="25">
        <v>12</v>
      </c>
      <c r="R7" s="25">
        <v>13</v>
      </c>
      <c r="S7" s="25">
        <v>14</v>
      </c>
      <c r="T7" s="25">
        <v>15</v>
      </c>
    </row>
    <row r="8" spans="3:22" ht="14.4" customHeight="1" x14ac:dyDescent="0.3">
      <c r="C8" s="95" t="s">
        <v>1</v>
      </c>
      <c r="D8" s="95" t="s">
        <v>2</v>
      </c>
      <c r="E8" s="96" t="s">
        <v>3</v>
      </c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8"/>
      <c r="U8" s="3"/>
      <c r="V8" s="91" t="s">
        <v>16</v>
      </c>
    </row>
    <row r="9" spans="3:22" x14ac:dyDescent="0.3">
      <c r="C9" s="95"/>
      <c r="D9" s="95"/>
      <c r="E9" s="4">
        <v>2022</v>
      </c>
      <c r="F9" s="4">
        <v>2023</v>
      </c>
      <c r="G9" s="4">
        <v>2024</v>
      </c>
      <c r="H9" s="4">
        <v>2025</v>
      </c>
      <c r="I9" s="4">
        <v>2026</v>
      </c>
      <c r="J9" s="4">
        <v>2027</v>
      </c>
      <c r="K9" s="4">
        <v>2028</v>
      </c>
      <c r="L9" s="4">
        <v>2029</v>
      </c>
      <c r="M9" s="4">
        <v>2030</v>
      </c>
      <c r="N9" s="4">
        <v>2031</v>
      </c>
      <c r="O9" s="4">
        <v>2032</v>
      </c>
      <c r="P9" s="4">
        <v>2033</v>
      </c>
      <c r="Q9" s="4">
        <v>2034</v>
      </c>
      <c r="R9" s="4">
        <v>2035</v>
      </c>
      <c r="S9" s="4">
        <v>2036</v>
      </c>
      <c r="T9" s="4">
        <v>2037</v>
      </c>
      <c r="U9" s="3"/>
      <c r="V9" s="91"/>
    </row>
    <row r="10" spans="3:22" x14ac:dyDescent="0.3">
      <c r="C10" s="92" t="s">
        <v>4</v>
      </c>
      <c r="D10" s="5" t="s">
        <v>5</v>
      </c>
      <c r="E10" s="6"/>
      <c r="F10" s="6"/>
      <c r="G10" s="6"/>
      <c r="H10" s="6"/>
      <c r="I10" s="6"/>
      <c r="J10" s="6"/>
      <c r="K10" s="6"/>
      <c r="L10" s="6"/>
      <c r="M10" s="30">
        <v>7286.5238830526414</v>
      </c>
      <c r="N10" s="6"/>
      <c r="O10" s="6"/>
      <c r="P10" s="6"/>
      <c r="Q10" s="6"/>
      <c r="R10" s="6"/>
      <c r="S10" s="6"/>
      <c r="T10" s="6"/>
      <c r="U10" s="3"/>
      <c r="V10" s="6">
        <f t="shared" ref="V10:V17" si="0">+SUM(F10:T10)</f>
        <v>7286.5238830526414</v>
      </c>
    </row>
    <row r="11" spans="3:22" x14ac:dyDescent="0.3">
      <c r="C11" s="93"/>
      <c r="D11" s="7" t="s">
        <v>11</v>
      </c>
      <c r="E11" s="8"/>
      <c r="F11" s="8"/>
      <c r="G11" s="8"/>
      <c r="H11" s="8"/>
      <c r="I11" s="8"/>
      <c r="J11" s="8"/>
      <c r="K11" s="8"/>
      <c r="L11" s="8"/>
      <c r="M11" s="8"/>
      <c r="N11" s="26">
        <v>15346.293113729069</v>
      </c>
      <c r="O11" s="8"/>
      <c r="P11" s="8"/>
      <c r="Q11" s="8"/>
      <c r="R11" s="8"/>
      <c r="S11" s="8"/>
      <c r="T11" s="8"/>
      <c r="U11" s="3"/>
      <c r="V11" s="8">
        <f t="shared" si="0"/>
        <v>15346.293113729069</v>
      </c>
    </row>
    <row r="12" spans="3:22" x14ac:dyDescent="0.3">
      <c r="C12" s="93"/>
      <c r="D12" s="7" t="s">
        <v>12</v>
      </c>
      <c r="E12" s="8"/>
      <c r="F12" s="8"/>
      <c r="G12" s="8"/>
      <c r="H12" s="8"/>
      <c r="I12" s="8"/>
      <c r="J12" s="8"/>
      <c r="K12" s="8"/>
      <c r="L12" s="8"/>
      <c r="M12" s="8"/>
      <c r="N12" s="26">
        <v>615.42715006181834</v>
      </c>
      <c r="O12" s="8"/>
      <c r="P12" s="8"/>
      <c r="Q12" s="8"/>
      <c r="R12" s="8"/>
      <c r="S12" s="8"/>
      <c r="T12" s="8"/>
      <c r="U12" s="3"/>
      <c r="V12" s="8">
        <f t="shared" si="0"/>
        <v>615.42715006181834</v>
      </c>
    </row>
    <row r="13" spans="3:22" x14ac:dyDescent="0.3">
      <c r="C13" s="93"/>
      <c r="D13" s="7" t="s">
        <v>13</v>
      </c>
      <c r="E13" s="8"/>
      <c r="F13" s="8"/>
      <c r="G13" s="8"/>
      <c r="H13" s="8"/>
      <c r="I13" s="8"/>
      <c r="J13" s="8"/>
      <c r="K13" s="8"/>
      <c r="L13" s="8"/>
      <c r="M13" s="8"/>
      <c r="N13" s="26">
        <v>397.37907483984725</v>
      </c>
      <c r="O13" s="8"/>
      <c r="P13" s="8"/>
      <c r="Q13" s="8"/>
      <c r="R13" s="8"/>
      <c r="S13" s="8"/>
      <c r="T13" s="8"/>
      <c r="U13" s="3"/>
      <c r="V13" s="8">
        <f t="shared" si="0"/>
        <v>397.37907483984725</v>
      </c>
    </row>
    <row r="14" spans="3:22" x14ac:dyDescent="0.3">
      <c r="C14" s="93"/>
      <c r="D14" s="7" t="s">
        <v>48</v>
      </c>
      <c r="E14" s="8"/>
      <c r="F14" s="8"/>
      <c r="G14" s="26">
        <v>511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3"/>
      <c r="V14" s="8">
        <f t="shared" si="0"/>
        <v>511</v>
      </c>
    </row>
    <row r="15" spans="3:22" x14ac:dyDescent="0.3">
      <c r="C15" s="93"/>
      <c r="D15" s="7" t="s">
        <v>49</v>
      </c>
      <c r="E15" s="8"/>
      <c r="F15" s="8"/>
      <c r="G15" s="26">
        <v>222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3"/>
      <c r="V15" s="8">
        <f t="shared" si="0"/>
        <v>222</v>
      </c>
    </row>
    <row r="16" spans="3:22" x14ac:dyDescent="0.3">
      <c r="C16" s="93"/>
      <c r="D16" s="7" t="s">
        <v>66</v>
      </c>
      <c r="E16" s="8"/>
      <c r="F16" s="8"/>
      <c r="G16" s="26">
        <v>222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3"/>
      <c r="V16" s="8">
        <f t="shared" si="0"/>
        <v>222</v>
      </c>
    </row>
    <row r="17" spans="3:23" x14ac:dyDescent="0.3">
      <c r="C17" s="93"/>
      <c r="D17" s="7" t="s">
        <v>50</v>
      </c>
      <c r="E17" s="8"/>
      <c r="F17" s="8"/>
      <c r="G17" s="26">
        <v>222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3"/>
      <c r="V17" s="8">
        <f t="shared" si="0"/>
        <v>222</v>
      </c>
    </row>
    <row r="18" spans="3:23" x14ac:dyDescent="0.3">
      <c r="C18" s="94"/>
      <c r="D18" s="14" t="s">
        <v>17</v>
      </c>
      <c r="E18" s="15">
        <v>0</v>
      </c>
      <c r="F18" s="15">
        <f>+SUM(F10:F17)</f>
        <v>0</v>
      </c>
      <c r="G18" s="15">
        <f t="shared" ref="G18:T18" si="1">+SUM(G10:G17)</f>
        <v>1177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7286.5238830526414</v>
      </c>
      <c r="N18" s="15">
        <f t="shared" si="1"/>
        <v>16359.099338630735</v>
      </c>
      <c r="O18" s="15">
        <f t="shared" si="1"/>
        <v>0</v>
      </c>
      <c r="P18" s="15">
        <f t="shared" si="1"/>
        <v>0</v>
      </c>
      <c r="Q18" s="15">
        <f t="shared" si="1"/>
        <v>0</v>
      </c>
      <c r="R18" s="15">
        <f t="shared" si="1"/>
        <v>0</v>
      </c>
      <c r="S18" s="15">
        <f t="shared" si="1"/>
        <v>0</v>
      </c>
      <c r="T18" s="15">
        <f t="shared" si="1"/>
        <v>0</v>
      </c>
      <c r="U18" s="3"/>
      <c r="V18" s="15">
        <f>+SUM(V10:V17)</f>
        <v>24822.623221683374</v>
      </c>
    </row>
    <row r="19" spans="3:23" x14ac:dyDescent="0.3">
      <c r="C19" s="92" t="s">
        <v>6</v>
      </c>
      <c r="D19" s="7" t="s">
        <v>61</v>
      </c>
      <c r="E19" s="8"/>
      <c r="F19" s="29">
        <v>5000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3"/>
      <c r="V19" s="8">
        <f>+SUM(F19:T19)</f>
        <v>5000</v>
      </c>
    </row>
    <row r="20" spans="3:23" x14ac:dyDescent="0.3">
      <c r="C20" s="93"/>
      <c r="D20" s="7" t="s">
        <v>33</v>
      </c>
      <c r="E20" s="8"/>
      <c r="F20" s="8"/>
      <c r="G20" s="26">
        <v>600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3"/>
      <c r="V20" s="8">
        <f t="shared" ref="V20:V28" si="2">+SUM(F20:T20)</f>
        <v>600</v>
      </c>
    </row>
    <row r="21" spans="3:23" x14ac:dyDescent="0.3">
      <c r="C21" s="93"/>
      <c r="D21" s="7" t="s">
        <v>59</v>
      </c>
      <c r="E21" s="8"/>
      <c r="F21" s="8"/>
      <c r="G21" s="8"/>
      <c r="H21" s="8"/>
      <c r="I21" s="8"/>
      <c r="J21" s="26"/>
      <c r="K21" s="8"/>
      <c r="L21" s="8"/>
      <c r="M21" s="8"/>
      <c r="N21" s="8"/>
      <c r="O21" s="8"/>
      <c r="P21" s="8"/>
      <c r="Q21" s="8"/>
      <c r="R21" s="8"/>
      <c r="S21" s="8"/>
      <c r="T21" s="8"/>
      <c r="U21" s="3"/>
      <c r="V21" s="8">
        <f t="shared" si="2"/>
        <v>0</v>
      </c>
      <c r="W21" s="1" t="s">
        <v>47</v>
      </c>
    </row>
    <row r="22" spans="3:23" x14ac:dyDescent="0.3">
      <c r="C22" s="93"/>
      <c r="D22" s="7" t="s">
        <v>46</v>
      </c>
      <c r="E22" s="8"/>
      <c r="F22" s="8"/>
      <c r="G22" s="8"/>
      <c r="H22" s="8"/>
      <c r="I22" s="8"/>
      <c r="J22" s="26"/>
      <c r="K22" s="8"/>
      <c r="L22" s="8"/>
      <c r="M22" s="8"/>
      <c r="N22" s="8"/>
      <c r="O22" s="8"/>
      <c r="P22" s="8"/>
      <c r="Q22" s="8"/>
      <c r="R22" s="8"/>
      <c r="S22" s="8"/>
      <c r="T22" s="8"/>
      <c r="U22" s="3"/>
      <c r="V22" s="8">
        <f t="shared" si="2"/>
        <v>0</v>
      </c>
      <c r="W22" s="1" t="s">
        <v>47</v>
      </c>
    </row>
    <row r="23" spans="3:23" x14ac:dyDescent="0.3">
      <c r="C23" s="93"/>
      <c r="D23" s="7" t="s">
        <v>46</v>
      </c>
      <c r="E23" s="8"/>
      <c r="F23" s="8"/>
      <c r="G23" s="8"/>
      <c r="H23" s="8"/>
      <c r="I23" s="8"/>
      <c r="J23" s="26"/>
      <c r="K23" s="8"/>
      <c r="L23" s="8"/>
      <c r="M23" s="8"/>
      <c r="N23" s="8"/>
      <c r="O23" s="8"/>
      <c r="P23" s="8"/>
      <c r="Q23" s="8"/>
      <c r="R23" s="8"/>
      <c r="S23" s="8"/>
      <c r="T23" s="8"/>
      <c r="U23" s="3"/>
      <c r="V23" s="8">
        <f t="shared" si="2"/>
        <v>0</v>
      </c>
    </row>
    <row r="24" spans="3:23" x14ac:dyDescent="0.3">
      <c r="C24" s="93"/>
      <c r="D24" s="7" t="s">
        <v>46</v>
      </c>
      <c r="E24" s="8"/>
      <c r="F24" s="8"/>
      <c r="G24" s="8"/>
      <c r="H24" s="8"/>
      <c r="I24" s="8"/>
      <c r="J24" s="26"/>
      <c r="K24" s="8"/>
      <c r="L24" s="8"/>
      <c r="M24" s="8"/>
      <c r="N24" s="8"/>
      <c r="O24" s="8"/>
      <c r="P24" s="8"/>
      <c r="Q24" s="8"/>
      <c r="R24" s="8"/>
      <c r="S24" s="8"/>
      <c r="T24" s="8"/>
      <c r="U24" s="3"/>
      <c r="V24" s="8">
        <f t="shared" si="2"/>
        <v>0</v>
      </c>
    </row>
    <row r="25" spans="3:23" x14ac:dyDescent="0.3">
      <c r="C25" s="93"/>
      <c r="D25" s="7" t="s">
        <v>46</v>
      </c>
      <c r="E25" s="8"/>
      <c r="F25" s="8"/>
      <c r="G25" s="8"/>
      <c r="H25" s="8"/>
      <c r="I25" s="8"/>
      <c r="J25" s="26"/>
      <c r="K25" s="8"/>
      <c r="L25" s="8"/>
      <c r="M25" s="8"/>
      <c r="N25" s="8"/>
      <c r="O25" s="8"/>
      <c r="P25" s="8"/>
      <c r="Q25" s="8"/>
      <c r="R25" s="8"/>
      <c r="S25" s="8"/>
      <c r="T25" s="8"/>
      <c r="U25" s="3"/>
      <c r="V25" s="8">
        <f t="shared" si="2"/>
        <v>0</v>
      </c>
    </row>
    <row r="26" spans="3:23" x14ac:dyDescent="0.3">
      <c r="C26" s="93"/>
      <c r="D26" s="7" t="s">
        <v>46</v>
      </c>
      <c r="E26" s="8"/>
      <c r="F26" s="8"/>
      <c r="G26" s="8"/>
      <c r="H26" s="8"/>
      <c r="I26" s="8"/>
      <c r="J26" s="26"/>
      <c r="K26" s="8"/>
      <c r="L26" s="8"/>
      <c r="M26" s="8"/>
      <c r="N26" s="8"/>
      <c r="O26" s="8"/>
      <c r="P26" s="8"/>
      <c r="Q26" s="8"/>
      <c r="R26" s="8"/>
      <c r="S26" s="8"/>
      <c r="T26" s="8"/>
      <c r="U26" s="3"/>
      <c r="V26" s="8">
        <f t="shared" si="2"/>
        <v>0</v>
      </c>
    </row>
    <row r="27" spans="3:23" x14ac:dyDescent="0.3">
      <c r="C27" s="93"/>
      <c r="D27" s="7" t="s">
        <v>74</v>
      </c>
      <c r="E27" s="8"/>
      <c r="F27" s="8"/>
      <c r="G27" s="8"/>
      <c r="H27" s="8"/>
      <c r="I27" s="8"/>
      <c r="J27" s="8"/>
      <c r="K27" s="26">
        <v>326</v>
      </c>
      <c r="L27" s="8"/>
      <c r="M27" s="8"/>
      <c r="N27" s="8"/>
      <c r="O27" s="8"/>
      <c r="P27" s="8"/>
      <c r="Q27" s="8"/>
      <c r="R27" s="8"/>
      <c r="S27" s="8"/>
      <c r="T27" s="8"/>
      <c r="U27" s="3"/>
      <c r="V27" s="8">
        <f t="shared" si="2"/>
        <v>326</v>
      </c>
    </row>
    <row r="28" spans="3:23" x14ac:dyDescent="0.3">
      <c r="C28" s="93"/>
      <c r="D28" s="19" t="s">
        <v>63</v>
      </c>
      <c r="E28" s="18"/>
      <c r="F28" s="20"/>
      <c r="G28" s="20">
        <v>5600</v>
      </c>
      <c r="H28" s="20">
        <v>5600</v>
      </c>
      <c r="I28" s="20">
        <v>5600</v>
      </c>
      <c r="J28" s="20">
        <v>5600</v>
      </c>
      <c r="K28" s="20">
        <v>5600</v>
      </c>
      <c r="L28" s="20">
        <v>5600</v>
      </c>
      <c r="M28" s="20">
        <v>5600</v>
      </c>
      <c r="N28" s="20">
        <v>5600</v>
      </c>
      <c r="O28" s="20">
        <v>5600</v>
      </c>
      <c r="P28" s="20">
        <v>5600</v>
      </c>
      <c r="Q28" s="20">
        <v>5600</v>
      </c>
      <c r="R28" s="20">
        <v>5600</v>
      </c>
      <c r="S28" s="20">
        <v>5600</v>
      </c>
      <c r="T28" s="20">
        <v>5600</v>
      </c>
      <c r="U28" s="3"/>
      <c r="V28" s="8">
        <f t="shared" si="2"/>
        <v>78400</v>
      </c>
    </row>
    <row r="29" spans="3:23" x14ac:dyDescent="0.3">
      <c r="C29" s="94"/>
      <c r="D29" s="14" t="s">
        <v>18</v>
      </c>
      <c r="E29" s="15">
        <v>0</v>
      </c>
      <c r="F29" s="15">
        <f>+SUM(F19:F28)</f>
        <v>5000</v>
      </c>
      <c r="G29" s="15">
        <f t="shared" ref="G29:T29" si="3">+SUM(G19:G28)</f>
        <v>6200</v>
      </c>
      <c r="H29" s="15">
        <f t="shared" si="3"/>
        <v>5600</v>
      </c>
      <c r="I29" s="15">
        <f t="shared" si="3"/>
        <v>5600</v>
      </c>
      <c r="J29" s="15">
        <f t="shared" si="3"/>
        <v>5600</v>
      </c>
      <c r="K29" s="15">
        <f t="shared" si="3"/>
        <v>5926</v>
      </c>
      <c r="L29" s="15">
        <f t="shared" si="3"/>
        <v>5600</v>
      </c>
      <c r="M29" s="15">
        <f t="shared" si="3"/>
        <v>5600</v>
      </c>
      <c r="N29" s="15">
        <f t="shared" si="3"/>
        <v>5600</v>
      </c>
      <c r="O29" s="15">
        <f t="shared" si="3"/>
        <v>5600</v>
      </c>
      <c r="P29" s="15">
        <f t="shared" si="3"/>
        <v>5600</v>
      </c>
      <c r="Q29" s="15">
        <f t="shared" si="3"/>
        <v>5600</v>
      </c>
      <c r="R29" s="15">
        <f t="shared" si="3"/>
        <v>5600</v>
      </c>
      <c r="S29" s="15">
        <f t="shared" si="3"/>
        <v>5600</v>
      </c>
      <c r="T29" s="15">
        <f t="shared" si="3"/>
        <v>5600</v>
      </c>
      <c r="U29" s="3"/>
      <c r="V29" s="15">
        <f>+SUM(F29:T29)</f>
        <v>84326</v>
      </c>
    </row>
    <row r="30" spans="3:23" x14ac:dyDescent="0.3">
      <c r="C30" s="92" t="s">
        <v>7</v>
      </c>
      <c r="D30" s="7" t="s">
        <v>62</v>
      </c>
      <c r="E30" s="8"/>
      <c r="F30" s="8"/>
      <c r="G30" s="26">
        <v>3500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3"/>
      <c r="V30" s="8">
        <f>+SUM(F30:T30)</f>
        <v>3500</v>
      </c>
    </row>
    <row r="31" spans="3:23" x14ac:dyDescent="0.3">
      <c r="C31" s="93"/>
      <c r="D31" s="12" t="s">
        <v>30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8"/>
      <c r="S31" s="13"/>
      <c r="T31" s="13"/>
      <c r="V31" s="8">
        <f t="shared" ref="V31:V53" si="4">+SUM(F31:T31)</f>
        <v>0</v>
      </c>
    </row>
    <row r="32" spans="3:23" x14ac:dyDescent="0.3">
      <c r="C32" s="93"/>
      <c r="D32" s="27" t="s">
        <v>31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26">
        <v>758.25095326069072</v>
      </c>
      <c r="P32" s="8"/>
      <c r="Q32" s="8"/>
      <c r="R32" s="8"/>
      <c r="S32" s="8"/>
      <c r="T32" s="8"/>
      <c r="U32" s="3"/>
      <c r="V32" s="8">
        <f t="shared" si="4"/>
        <v>758.25095326069072</v>
      </c>
      <c r="W32" s="1" t="s">
        <v>51</v>
      </c>
    </row>
    <row r="33" spans="3:23" x14ac:dyDescent="0.3">
      <c r="C33" s="93"/>
      <c r="D33" s="27" t="s">
        <v>32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26">
        <v>905.14024400002631</v>
      </c>
      <c r="Q33" s="8"/>
      <c r="R33" s="8"/>
      <c r="S33" s="8"/>
      <c r="T33" s="8"/>
      <c r="U33" s="3"/>
      <c r="V33" s="8">
        <f t="shared" si="4"/>
        <v>905.14024400002631</v>
      </c>
      <c r="W33" s="1" t="s">
        <v>51</v>
      </c>
    </row>
    <row r="34" spans="3:23" x14ac:dyDescent="0.3">
      <c r="C34" s="93"/>
      <c r="D34" s="27" t="s">
        <v>41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26">
        <v>1370.1</v>
      </c>
      <c r="R34" s="8"/>
      <c r="S34" s="8"/>
      <c r="T34" s="8"/>
      <c r="U34" s="3"/>
      <c r="V34" s="8">
        <f t="shared" si="4"/>
        <v>1370.1</v>
      </c>
      <c r="W34" s="1" t="s">
        <v>52</v>
      </c>
    </row>
    <row r="35" spans="3:23" x14ac:dyDescent="0.3">
      <c r="C35" s="93"/>
      <c r="D35" s="27" t="s">
        <v>42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6">
        <v>1250</v>
      </c>
      <c r="R35" s="8"/>
      <c r="S35" s="8"/>
      <c r="T35" s="8"/>
      <c r="U35" s="3"/>
      <c r="V35" s="8">
        <f t="shared" si="4"/>
        <v>1250</v>
      </c>
    </row>
    <row r="36" spans="3:23" x14ac:dyDescent="0.3">
      <c r="C36" s="93"/>
      <c r="D36" s="27" t="s">
        <v>43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26">
        <v>900</v>
      </c>
      <c r="R36" s="8"/>
      <c r="S36" s="8"/>
      <c r="T36" s="8"/>
      <c r="U36" s="3"/>
      <c r="V36" s="8">
        <f t="shared" si="4"/>
        <v>900</v>
      </c>
    </row>
    <row r="37" spans="3:23" x14ac:dyDescent="0.3">
      <c r="C37" s="93"/>
      <c r="D37" s="7" t="s">
        <v>28</v>
      </c>
      <c r="E37" s="8" t="s">
        <v>22</v>
      </c>
      <c r="F37" s="8"/>
      <c r="G37" s="8"/>
      <c r="H37" s="8"/>
      <c r="I37" s="8"/>
      <c r="J37" s="8"/>
      <c r="K37" s="8"/>
      <c r="L37" s="8"/>
      <c r="M37" s="8"/>
      <c r="N37" s="26">
        <v>777.55382891905617</v>
      </c>
      <c r="O37" s="8"/>
      <c r="P37" s="8"/>
      <c r="Q37" s="8"/>
      <c r="R37" s="8"/>
      <c r="S37" s="8"/>
      <c r="T37" s="8"/>
      <c r="U37" s="3"/>
      <c r="V37" s="8">
        <f t="shared" si="4"/>
        <v>777.55382891905617</v>
      </c>
      <c r="W37" s="1" t="s">
        <v>53</v>
      </c>
    </row>
    <row r="38" spans="3:23" x14ac:dyDescent="0.3">
      <c r="C38" s="93"/>
      <c r="D38" s="7" t="s">
        <v>29</v>
      </c>
      <c r="E38" s="8" t="s">
        <v>22</v>
      </c>
      <c r="F38" s="8"/>
      <c r="G38" s="8"/>
      <c r="H38" s="8"/>
      <c r="I38" s="8"/>
      <c r="J38" s="8"/>
      <c r="K38" s="8"/>
      <c r="L38" s="8"/>
      <c r="M38" s="8"/>
      <c r="N38" s="26">
        <v>1937.4717074651894</v>
      </c>
      <c r="O38" s="8"/>
      <c r="P38" s="8"/>
      <c r="Q38" s="8"/>
      <c r="R38" s="8"/>
      <c r="S38" s="8"/>
      <c r="T38" s="8"/>
      <c r="U38" s="3"/>
      <c r="V38" s="8">
        <f t="shared" si="4"/>
        <v>1937.4717074651894</v>
      </c>
      <c r="W38" s="1" t="s">
        <v>54</v>
      </c>
    </row>
    <row r="39" spans="3:23" x14ac:dyDescent="0.3">
      <c r="C39" s="93"/>
      <c r="D39" s="7" t="s">
        <v>14</v>
      </c>
      <c r="E39" s="8"/>
      <c r="F39" s="8"/>
      <c r="G39" s="8"/>
      <c r="H39" s="8"/>
      <c r="I39" s="8"/>
      <c r="J39" s="8"/>
      <c r="K39" s="8"/>
      <c r="L39" s="8"/>
      <c r="M39" s="8"/>
      <c r="N39" s="26">
        <v>1179.47778879509</v>
      </c>
      <c r="O39" s="8"/>
      <c r="P39" s="8"/>
      <c r="Q39" s="8"/>
      <c r="R39" s="8"/>
      <c r="S39" s="8"/>
      <c r="T39" s="8"/>
      <c r="U39" s="3"/>
      <c r="V39" s="8">
        <f t="shared" si="4"/>
        <v>1179.47778879509</v>
      </c>
      <c r="W39" s="1" t="s">
        <v>55</v>
      </c>
    </row>
    <row r="40" spans="3:23" x14ac:dyDescent="0.3">
      <c r="C40" s="93"/>
      <c r="D40" s="7" t="s">
        <v>15</v>
      </c>
      <c r="E40" s="8"/>
      <c r="F40" s="8"/>
      <c r="G40" s="8"/>
      <c r="H40" s="8"/>
      <c r="I40" s="8"/>
      <c r="J40" s="26">
        <v>0</v>
      </c>
      <c r="K40" s="8"/>
      <c r="L40" s="8"/>
      <c r="M40" s="8"/>
      <c r="N40" s="8"/>
      <c r="O40" s="8"/>
      <c r="P40" s="8"/>
      <c r="Q40" s="8"/>
      <c r="R40" s="8"/>
      <c r="S40" s="8"/>
      <c r="T40" s="8"/>
      <c r="U40" s="3"/>
      <c r="V40" s="8">
        <f t="shared" si="4"/>
        <v>0</v>
      </c>
      <c r="W40" s="1" t="s">
        <v>45</v>
      </c>
    </row>
    <row r="41" spans="3:23" x14ac:dyDescent="0.3">
      <c r="C41" s="93"/>
      <c r="D41" s="7" t="s">
        <v>27</v>
      </c>
      <c r="E41" s="8" t="s">
        <v>22</v>
      </c>
      <c r="F41" s="8"/>
      <c r="G41" s="8"/>
      <c r="H41" s="8"/>
      <c r="I41" s="8"/>
      <c r="J41" s="8"/>
      <c r="K41" s="26">
        <v>1284.7947392070291</v>
      </c>
      <c r="L41" s="8"/>
      <c r="M41" s="8"/>
      <c r="N41" s="8"/>
      <c r="O41" s="8"/>
      <c r="P41" s="8"/>
      <c r="Q41" s="8"/>
      <c r="R41" s="8"/>
      <c r="S41" s="8"/>
      <c r="T41" s="8"/>
      <c r="U41" s="3"/>
      <c r="V41" s="8">
        <f t="shared" si="4"/>
        <v>1284.7947392070291</v>
      </c>
      <c r="W41" s="1" t="s">
        <v>56</v>
      </c>
    </row>
    <row r="42" spans="3:23" x14ac:dyDescent="0.3">
      <c r="C42" s="93"/>
      <c r="D42" s="7" t="s">
        <v>23</v>
      </c>
      <c r="E42" s="8" t="s">
        <v>21</v>
      </c>
      <c r="F42" s="8"/>
      <c r="G42" s="8"/>
      <c r="H42" s="8"/>
      <c r="I42" s="8"/>
      <c r="J42" s="8"/>
      <c r="K42" s="8"/>
      <c r="L42" s="8"/>
      <c r="M42" s="8"/>
      <c r="N42" s="26">
        <v>1590.7278236895932</v>
      </c>
      <c r="O42" s="8"/>
      <c r="P42" s="8"/>
      <c r="Q42" s="8"/>
      <c r="R42" s="8"/>
      <c r="S42" s="8"/>
      <c r="T42" s="8"/>
      <c r="U42" s="3"/>
      <c r="V42" s="8">
        <f t="shared" si="4"/>
        <v>1590.7278236895932</v>
      </c>
      <c r="W42" s="1" t="s">
        <v>53</v>
      </c>
    </row>
    <row r="43" spans="3:23" x14ac:dyDescent="0.3">
      <c r="C43" s="93"/>
      <c r="D43" s="7" t="s">
        <v>26</v>
      </c>
      <c r="E43" s="8" t="s">
        <v>22</v>
      </c>
      <c r="F43" s="8"/>
      <c r="G43" s="8"/>
      <c r="H43" s="8"/>
      <c r="I43" s="26">
        <v>341.29347680492879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3"/>
      <c r="V43" s="8">
        <f t="shared" si="4"/>
        <v>341.29347680492879</v>
      </c>
      <c r="W43" s="1" t="s">
        <v>44</v>
      </c>
    </row>
    <row r="44" spans="3:23" x14ac:dyDescent="0.3">
      <c r="C44" s="93"/>
      <c r="D44" s="27" t="s">
        <v>57</v>
      </c>
      <c r="E44" s="8"/>
      <c r="F44" s="8"/>
      <c r="G44" s="26">
        <v>100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3"/>
      <c r="V44" s="8">
        <f t="shared" si="4"/>
        <v>100</v>
      </c>
    </row>
    <row r="45" spans="3:23" x14ac:dyDescent="0.3">
      <c r="C45" s="93"/>
      <c r="D45" s="27" t="s">
        <v>77</v>
      </c>
      <c r="E45" s="8"/>
      <c r="F45" s="8"/>
      <c r="G45" s="8"/>
      <c r="H45" s="8"/>
      <c r="I45" s="8"/>
      <c r="J45" s="26"/>
      <c r="K45" s="8"/>
      <c r="L45" s="8"/>
      <c r="M45" s="8"/>
      <c r="N45" s="8"/>
      <c r="O45" s="8"/>
      <c r="P45" s="8"/>
      <c r="Q45" s="8"/>
      <c r="R45" s="8"/>
      <c r="S45" s="8"/>
      <c r="T45" s="8"/>
      <c r="U45" s="3"/>
      <c r="V45" s="8">
        <f t="shared" si="4"/>
        <v>0</v>
      </c>
    </row>
    <row r="46" spans="3:23" x14ac:dyDescent="0.3">
      <c r="C46" s="93"/>
      <c r="D46" s="7" t="s">
        <v>67</v>
      </c>
      <c r="E46" s="8"/>
      <c r="F46" s="8"/>
      <c r="G46" s="8"/>
      <c r="H46" s="26">
        <v>1087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3"/>
      <c r="V46" s="8">
        <f t="shared" si="4"/>
        <v>1087</v>
      </c>
    </row>
    <row r="47" spans="3:23" x14ac:dyDescent="0.3">
      <c r="C47" s="93"/>
      <c r="D47" s="7" t="s">
        <v>68</v>
      </c>
      <c r="E47" s="8"/>
      <c r="F47" s="8"/>
      <c r="G47" s="8"/>
      <c r="H47" s="26">
        <v>200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3"/>
      <c r="V47" s="8">
        <f t="shared" si="4"/>
        <v>200</v>
      </c>
    </row>
    <row r="48" spans="3:23" x14ac:dyDescent="0.3">
      <c r="C48" s="93"/>
      <c r="D48" s="7" t="s">
        <v>69</v>
      </c>
      <c r="E48" s="8"/>
      <c r="F48" s="8"/>
      <c r="G48" s="8"/>
      <c r="H48" s="8"/>
      <c r="I48" s="26">
        <v>408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3"/>
      <c r="V48" s="8">
        <f t="shared" si="4"/>
        <v>408</v>
      </c>
    </row>
    <row r="49" spans="3:23" x14ac:dyDescent="0.3">
      <c r="C49" s="93"/>
      <c r="D49" s="7" t="s">
        <v>70</v>
      </c>
      <c r="E49" s="8"/>
      <c r="F49" s="8"/>
      <c r="G49" s="8"/>
      <c r="H49" s="8"/>
      <c r="I49" s="26">
        <v>226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3"/>
      <c r="V49" s="8">
        <f t="shared" si="4"/>
        <v>226</v>
      </c>
    </row>
    <row r="50" spans="3:23" ht="13.95" customHeight="1" x14ac:dyDescent="0.3">
      <c r="C50" s="93"/>
      <c r="D50" s="7" t="s">
        <v>71</v>
      </c>
      <c r="E50" s="8"/>
      <c r="F50" s="8"/>
      <c r="G50" s="8"/>
      <c r="H50" s="8"/>
      <c r="I50" s="8"/>
      <c r="J50" s="26">
        <v>489</v>
      </c>
      <c r="K50" s="8"/>
      <c r="L50" s="8"/>
      <c r="M50" s="8"/>
      <c r="N50" s="8"/>
      <c r="O50" s="8"/>
      <c r="P50" s="8"/>
      <c r="Q50" s="8"/>
      <c r="R50" s="8"/>
      <c r="S50" s="8"/>
      <c r="T50" s="8"/>
      <c r="U50" s="3"/>
      <c r="V50" s="8">
        <f t="shared" si="4"/>
        <v>489</v>
      </c>
    </row>
    <row r="51" spans="3:23" x14ac:dyDescent="0.3">
      <c r="C51" s="93"/>
      <c r="D51" s="7" t="s">
        <v>72</v>
      </c>
      <c r="E51" s="8"/>
      <c r="F51" s="8"/>
      <c r="G51" s="8"/>
      <c r="H51" s="8"/>
      <c r="I51" s="8"/>
      <c r="J51" s="26">
        <v>226</v>
      </c>
      <c r="K51" s="8"/>
      <c r="L51" s="8"/>
      <c r="M51" s="8"/>
      <c r="N51" s="8"/>
      <c r="O51" s="8"/>
      <c r="P51" s="8"/>
      <c r="Q51" s="8"/>
      <c r="R51" s="8"/>
      <c r="S51" s="8"/>
      <c r="T51" s="8"/>
      <c r="U51" s="3"/>
      <c r="V51" s="8">
        <f t="shared" si="4"/>
        <v>226</v>
      </c>
    </row>
    <row r="52" spans="3:23" x14ac:dyDescent="0.3">
      <c r="C52" s="93"/>
      <c r="D52" s="7" t="s">
        <v>73</v>
      </c>
      <c r="E52" s="8"/>
      <c r="F52" s="8"/>
      <c r="G52" s="8"/>
      <c r="H52" s="8"/>
      <c r="I52" s="8"/>
      <c r="J52" s="8"/>
      <c r="K52" s="26">
        <v>226</v>
      </c>
      <c r="L52" s="8"/>
      <c r="M52" s="8"/>
      <c r="N52" s="8"/>
      <c r="O52" s="8"/>
      <c r="P52" s="8"/>
      <c r="Q52" s="8"/>
      <c r="R52" s="8"/>
      <c r="S52" s="8"/>
      <c r="T52" s="8"/>
      <c r="U52" s="3"/>
      <c r="V52" s="8">
        <f t="shared" si="4"/>
        <v>226</v>
      </c>
    </row>
    <row r="53" spans="3:23" x14ac:dyDescent="0.3">
      <c r="C53" s="93"/>
      <c r="D53" s="19" t="s">
        <v>25</v>
      </c>
      <c r="E53" s="18"/>
      <c r="F53" s="20"/>
      <c r="G53" s="20"/>
      <c r="H53" s="20">
        <v>3500</v>
      </c>
      <c r="I53" s="20">
        <v>3500</v>
      </c>
      <c r="J53" s="20">
        <v>3500</v>
      </c>
      <c r="K53" s="20">
        <v>3500</v>
      </c>
      <c r="L53" s="20">
        <v>3500</v>
      </c>
      <c r="M53" s="20">
        <v>3500</v>
      </c>
      <c r="N53" s="20">
        <v>3500</v>
      </c>
      <c r="O53" s="20">
        <v>3500</v>
      </c>
      <c r="P53" s="20">
        <v>3500</v>
      </c>
      <c r="Q53" s="20">
        <v>3500</v>
      </c>
      <c r="R53" s="20">
        <v>3500</v>
      </c>
      <c r="S53" s="20">
        <v>3500</v>
      </c>
      <c r="T53" s="20">
        <v>3500</v>
      </c>
      <c r="U53" s="3"/>
      <c r="V53" s="8">
        <f t="shared" si="4"/>
        <v>45500</v>
      </c>
    </row>
    <row r="54" spans="3:23" x14ac:dyDescent="0.3">
      <c r="C54" s="94"/>
      <c r="D54" s="14" t="s">
        <v>19</v>
      </c>
      <c r="E54" s="15">
        <v>0</v>
      </c>
      <c r="F54" s="15">
        <f t="shared" ref="F54:T54" si="5">+SUM(F30:F53)</f>
        <v>0</v>
      </c>
      <c r="G54" s="15">
        <f t="shared" si="5"/>
        <v>3600</v>
      </c>
      <c r="H54" s="15">
        <f t="shared" si="5"/>
        <v>4787</v>
      </c>
      <c r="I54" s="15">
        <f t="shared" si="5"/>
        <v>4475.293476804929</v>
      </c>
      <c r="J54" s="15">
        <f t="shared" si="5"/>
        <v>4215</v>
      </c>
      <c r="K54" s="15">
        <f t="shared" si="5"/>
        <v>5010.7947392070291</v>
      </c>
      <c r="L54" s="15">
        <f t="shared" si="5"/>
        <v>3500</v>
      </c>
      <c r="M54" s="15">
        <f t="shared" si="5"/>
        <v>3500</v>
      </c>
      <c r="N54" s="15">
        <f t="shared" si="5"/>
        <v>8985.2311488689284</v>
      </c>
      <c r="O54" s="15">
        <f t="shared" si="5"/>
        <v>4258.2509532606909</v>
      </c>
      <c r="P54" s="15">
        <f t="shared" si="5"/>
        <v>4405.1402440000265</v>
      </c>
      <c r="Q54" s="15">
        <f t="shared" si="5"/>
        <v>7020.1</v>
      </c>
      <c r="R54" s="15">
        <f t="shared" si="5"/>
        <v>3500</v>
      </c>
      <c r="S54" s="15">
        <f t="shared" si="5"/>
        <v>3500</v>
      </c>
      <c r="T54" s="15">
        <f t="shared" si="5"/>
        <v>3500</v>
      </c>
      <c r="U54" s="3"/>
      <c r="V54" s="15">
        <f>+SUM(F54:T54)</f>
        <v>64256.810562141603</v>
      </c>
    </row>
    <row r="55" spans="3:23" x14ac:dyDescent="0.3">
      <c r="C55" s="92" t="s">
        <v>8</v>
      </c>
      <c r="D55" s="7" t="s">
        <v>58</v>
      </c>
      <c r="E55" s="8"/>
      <c r="F55" s="8"/>
      <c r="G55" s="8"/>
      <c r="H55" s="26">
        <f>61195.9668057236/110*160</f>
        <v>89012.315353779777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3"/>
      <c r="V55" s="8">
        <f>+SUM(F55:T55)</f>
        <v>89012.315353779777</v>
      </c>
    </row>
    <row r="56" spans="3:23" x14ac:dyDescent="0.3">
      <c r="C56" s="93"/>
      <c r="D56" s="7" t="s">
        <v>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26">
        <v>350</v>
      </c>
      <c r="R56" s="8"/>
      <c r="S56" s="8"/>
      <c r="T56" s="8"/>
      <c r="U56" s="3"/>
      <c r="V56" s="8">
        <f>+SUM(F56:T56)</f>
        <v>350</v>
      </c>
    </row>
    <row r="57" spans="3:23" x14ac:dyDescent="0.3">
      <c r="C57" s="93"/>
      <c r="D57" s="7" t="s">
        <v>60</v>
      </c>
      <c r="E57" s="8"/>
      <c r="F57" s="8"/>
      <c r="G57" s="26">
        <v>6580</v>
      </c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3"/>
      <c r="V57" s="8">
        <f t="shared" ref="V57:V58" si="6">+SUM(F57:T57)</f>
        <v>6580</v>
      </c>
    </row>
    <row r="58" spans="3:23" x14ac:dyDescent="0.3">
      <c r="C58" s="93"/>
      <c r="D58" s="7" t="s">
        <v>64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3"/>
      <c r="V58" s="8">
        <f t="shared" si="6"/>
        <v>0</v>
      </c>
    </row>
    <row r="59" spans="3:23" x14ac:dyDescent="0.3">
      <c r="C59" s="94"/>
      <c r="D59" s="14" t="s">
        <v>20</v>
      </c>
      <c r="E59" s="15">
        <v>0</v>
      </c>
      <c r="F59" s="15">
        <f>+SUM(F55:F57)</f>
        <v>0</v>
      </c>
      <c r="G59" s="15">
        <f t="shared" ref="G59:T59" si="7">+SUM(G55:G57)</f>
        <v>6580</v>
      </c>
      <c r="H59" s="15">
        <f t="shared" si="7"/>
        <v>89012.315353779777</v>
      </c>
      <c r="I59" s="15">
        <f t="shared" si="7"/>
        <v>0</v>
      </c>
      <c r="J59" s="15">
        <f t="shared" si="7"/>
        <v>0</v>
      </c>
      <c r="K59" s="15">
        <f t="shared" si="7"/>
        <v>0</v>
      </c>
      <c r="L59" s="15">
        <f t="shared" si="7"/>
        <v>0</v>
      </c>
      <c r="M59" s="15">
        <f t="shared" si="7"/>
        <v>0</v>
      </c>
      <c r="N59" s="15">
        <f t="shared" si="7"/>
        <v>0</v>
      </c>
      <c r="O59" s="15">
        <f t="shared" si="7"/>
        <v>0</v>
      </c>
      <c r="P59" s="15">
        <f t="shared" si="7"/>
        <v>0</v>
      </c>
      <c r="Q59" s="15">
        <f t="shared" si="7"/>
        <v>350</v>
      </c>
      <c r="R59" s="15">
        <f t="shared" si="7"/>
        <v>0</v>
      </c>
      <c r="S59" s="15">
        <f t="shared" si="7"/>
        <v>0</v>
      </c>
      <c r="T59" s="15">
        <f t="shared" si="7"/>
        <v>0</v>
      </c>
      <c r="U59" s="3"/>
      <c r="V59" s="15">
        <f>+SUM(F59:T59)</f>
        <v>95942.315353779777</v>
      </c>
    </row>
    <row r="60" spans="3:23" x14ac:dyDescent="0.3">
      <c r="C60" s="10"/>
      <c r="D60" s="12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3"/>
      <c r="V60" s="13"/>
    </row>
    <row r="61" spans="3:23" x14ac:dyDescent="0.3">
      <c r="C61" s="9"/>
      <c r="D61" s="9" t="s">
        <v>10</v>
      </c>
      <c r="E61" s="11">
        <v>0</v>
      </c>
      <c r="F61" s="11">
        <f t="shared" ref="F61:T61" si="8">+F59+F54+F29+F18</f>
        <v>5000</v>
      </c>
      <c r="G61" s="11">
        <f t="shared" si="8"/>
        <v>17557</v>
      </c>
      <c r="H61" s="11">
        <f t="shared" si="8"/>
        <v>99399.315353779777</v>
      </c>
      <c r="I61" s="11">
        <f t="shared" si="8"/>
        <v>10075.293476804929</v>
      </c>
      <c r="J61" s="11">
        <f t="shared" si="8"/>
        <v>9815</v>
      </c>
      <c r="K61" s="11">
        <f t="shared" si="8"/>
        <v>10936.794739207029</v>
      </c>
      <c r="L61" s="11">
        <f t="shared" si="8"/>
        <v>9100</v>
      </c>
      <c r="M61" s="11">
        <f t="shared" si="8"/>
        <v>16386.523883052643</v>
      </c>
      <c r="N61" s="11">
        <f t="shared" si="8"/>
        <v>30944.330487499661</v>
      </c>
      <c r="O61" s="11">
        <f t="shared" si="8"/>
        <v>9858.2509532606909</v>
      </c>
      <c r="P61" s="11">
        <f t="shared" si="8"/>
        <v>10005.140244000027</v>
      </c>
      <c r="Q61" s="11">
        <f t="shared" si="8"/>
        <v>12970.1</v>
      </c>
      <c r="R61" s="11">
        <f t="shared" si="8"/>
        <v>9100</v>
      </c>
      <c r="S61" s="11">
        <f t="shared" si="8"/>
        <v>9100</v>
      </c>
      <c r="T61" s="11">
        <f t="shared" si="8"/>
        <v>9100</v>
      </c>
      <c r="U61" s="3"/>
      <c r="V61" s="11">
        <f>+V59+V54+V29+V18</f>
        <v>269347.74913760473</v>
      </c>
      <c r="W61" s="16">
        <v>224677.36539268625</v>
      </c>
    </row>
    <row r="62" spans="3:23" x14ac:dyDescent="0.3">
      <c r="W62" s="16"/>
    </row>
    <row r="63" spans="3:23" x14ac:dyDescent="0.3">
      <c r="C63" s="1" t="s">
        <v>37</v>
      </c>
      <c r="D63" s="21" t="s">
        <v>36</v>
      </c>
    </row>
    <row r="64" spans="3:23" x14ac:dyDescent="0.3">
      <c r="D64" s="21" t="s">
        <v>75</v>
      </c>
      <c r="F64" s="17"/>
    </row>
    <row r="65" spans="4:8" x14ac:dyDescent="0.3">
      <c r="D65" s="21" t="s">
        <v>76</v>
      </c>
    </row>
    <row r="66" spans="4:8" x14ac:dyDescent="0.3">
      <c r="D66" s="21" t="s">
        <v>65</v>
      </c>
      <c r="H66" s="28"/>
    </row>
  </sheetData>
  <mergeCells count="8">
    <mergeCell ref="V8:V9"/>
    <mergeCell ref="C10:C18"/>
    <mergeCell ref="C19:C29"/>
    <mergeCell ref="C30:C54"/>
    <mergeCell ref="C55:C59"/>
    <mergeCell ref="C8:C9"/>
    <mergeCell ref="D8:D9"/>
    <mergeCell ref="E8:T8"/>
  </mergeCells>
  <phoneticPr fontId="8" type="noConversion"/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</vt:i4>
      </vt:variant>
    </vt:vector>
  </HeadingPairs>
  <TitlesOfParts>
    <vt:vector size="16" baseType="lpstr">
      <vt:lpstr>Cuadro 6-1 (V10)</vt:lpstr>
      <vt:lpstr>Cuadro 6-1 (V9)</vt:lpstr>
      <vt:lpstr>Cuadro 6-1 (V8)</vt:lpstr>
      <vt:lpstr>Cuadro 6-1 (V7)</vt:lpstr>
      <vt:lpstr>Cuadro 6-1 (V6)</vt:lpstr>
      <vt:lpstr>Cuadro 6-1 (V5)</vt:lpstr>
      <vt:lpstr>Cuadro 6-1 (V4)</vt:lpstr>
      <vt:lpstr>Cuadro 6-1 (V3)</vt:lpstr>
      <vt:lpstr>Cuadro 6-1 (V2)</vt:lpstr>
      <vt:lpstr>Cuadro 6-1</vt:lpstr>
      <vt:lpstr>'Cuadro 6-1 (V10)'!Área_de_impresión</vt:lpstr>
      <vt:lpstr>'Cuadro 6-1 (V5)'!Área_de_impresión</vt:lpstr>
      <vt:lpstr>'Cuadro 6-1 (V6)'!Área_de_impresión</vt:lpstr>
      <vt:lpstr>'Cuadro 6-1 (V7)'!Área_de_impresión</vt:lpstr>
      <vt:lpstr>'Cuadro 6-1 (V8)'!Área_de_impresión</vt:lpstr>
      <vt:lpstr>'Cuadro 6-1 (V9)'!Área_de_impresión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Reyes B.</dc:creator>
  <cp:lastModifiedBy>Victoria Rojas A.</cp:lastModifiedBy>
  <cp:lastPrinted>2024-07-02T21:14:08Z</cp:lastPrinted>
  <dcterms:created xsi:type="dcterms:W3CDTF">2018-12-19T19:10:02Z</dcterms:created>
  <dcterms:modified xsi:type="dcterms:W3CDTF">2025-04-01T15:03:28Z</dcterms:modified>
</cp:coreProperties>
</file>